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Мои документы\Мониторинг качества фин.менеджмента\Мониторинг КФМ - отчет\отчет за 2025\"/>
    </mc:Choice>
  </mc:AlternateContent>
  <bookViews>
    <workbookView xWindow="120" yWindow="120" windowWidth="15540" windowHeight="9015" tabRatio="952"/>
  </bookViews>
  <sheets>
    <sheet name="ИТОГОВЫЙ РЕЙТИНГ ЗА 2025 ГОД" sheetId="26" r:id="rId1"/>
    <sheet name="свод по прилож. 1,2" sheetId="2" r:id="rId2"/>
    <sheet name="приложение 3" sheetId="3" r:id="rId3"/>
    <sheet name="приложение 3.1." sheetId="18" r:id="rId4"/>
    <sheet name="приложение 6" sheetId="10" r:id="rId5"/>
    <sheet name="приложение 7" sheetId="4" r:id="rId6"/>
    <sheet name="приложение 8" sheetId="5" r:id="rId7"/>
    <sheet name="приложение 13" sheetId="13" r:id="rId8"/>
    <sheet name="приложение 10" sheetId="11" r:id="rId9"/>
    <sheet name="приложение 9" sheetId="8" r:id="rId10"/>
    <sheet name="приложение 14" sheetId="7" r:id="rId11"/>
    <sheet name="сведения о КЗ, ДЗ" sheetId="6" r:id="rId12"/>
    <sheet name="Факты,сниж. степ. кач." sheetId="19" r:id="rId13"/>
    <sheet name="приложение 15" sheetId="22" r:id="rId14"/>
    <sheet name="Приложение 16" sheetId="24" r:id="rId15"/>
    <sheet name="Приложение 18" sheetId="27" r:id="rId16"/>
    <sheet name="Свод по прилож. 11" sheetId="28" r:id="rId17"/>
    <sheet name="Свод по прилож. 4" sheetId="30" r:id="rId18"/>
  </sheets>
  <definedNames>
    <definedName name="Z_EB9C9A86_B58A_443D_8E32_0F9B9A284E4A_.wvu.Cols" localSheetId="2" hidden="1">'приложение 3'!$C:$C</definedName>
    <definedName name="Z_EB9C9A86_B58A_443D_8E32_0F9B9A284E4A_.wvu.Cols" localSheetId="1" hidden="1">'свод по прилож. 1,2'!$D:$D,'свод по прилож. 1,2'!#REF!</definedName>
    <definedName name="Z_EB9C9A86_B58A_443D_8E32_0F9B9A284E4A_.wvu.PrintTitles" localSheetId="1" hidden="1">'свод по прилож. 1,2'!$4:$5</definedName>
    <definedName name="_xlnm.Print_Titles" localSheetId="0">'ИТОГОВЫЙ РЕЙТИНГ ЗА 2025 ГОД'!$4:$6</definedName>
    <definedName name="_xlnm.Print_Titles" localSheetId="7">'приложение 13'!$4:$6</definedName>
    <definedName name="_xlnm.Print_Titles" localSheetId="2">'приложение 3'!$72:$73</definedName>
    <definedName name="_xlnm.Print_Titles" localSheetId="1">'свод по прилож. 1,2'!$4:$5</definedName>
    <definedName name="_xlnm.Print_Area" localSheetId="6">'приложение 8'!$A$1:$I$64</definedName>
  </definedNames>
  <calcPr calcId="152511"/>
  <customWorkbookViews>
    <customWorkbookView name="gumayeva - Личное представление" guid="{EB9C9A86-B58A-443D-8E32-0F9B9A284E4A}" mergeInterval="0" personalView="1" maximized="1" xWindow="1" yWindow="1" windowWidth="1280" windowHeight="762" tabRatio="793" activeSheetId="1"/>
  </customWorkbookViews>
</workbook>
</file>

<file path=xl/calcChain.xml><?xml version="1.0" encoding="utf-8"?>
<calcChain xmlns="http://schemas.openxmlformats.org/spreadsheetml/2006/main">
  <c r="BK39" i="26" l="1"/>
  <c r="BK37" i="26"/>
  <c r="BI39" i="26"/>
  <c r="BI37" i="26"/>
  <c r="BG39" i="26"/>
  <c r="BG37" i="26"/>
  <c r="BE39" i="26"/>
  <c r="BE37" i="26"/>
  <c r="BC39" i="26"/>
  <c r="BC37" i="26"/>
  <c r="BA39" i="26"/>
  <c r="BA37" i="26"/>
  <c r="AY39" i="26"/>
  <c r="AY37" i="26"/>
  <c r="AQ39" i="26" l="1"/>
  <c r="AQ37" i="26"/>
  <c r="AO39" i="26"/>
  <c r="AO37" i="26"/>
  <c r="AM39" i="26"/>
  <c r="AM37" i="26"/>
  <c r="AK39" i="26"/>
  <c r="AK37" i="26"/>
  <c r="AG39" i="26"/>
  <c r="AG37" i="26"/>
  <c r="AC39" i="26"/>
  <c r="AC37" i="26"/>
  <c r="G39" i="26"/>
  <c r="AA39" i="26"/>
  <c r="AA37" i="26"/>
  <c r="Y39" i="26"/>
  <c r="Y37" i="26"/>
  <c r="E39" i="26"/>
  <c r="E37" i="26"/>
  <c r="I33" i="26"/>
  <c r="G19" i="8" l="1"/>
  <c r="BJ9" i="26" l="1"/>
  <c r="BH9" i="26"/>
  <c r="BF9" i="26"/>
  <c r="BD9" i="26"/>
  <c r="BB9" i="26"/>
  <c r="AZ9" i="26"/>
  <c r="AX9" i="26"/>
  <c r="AV9" i="26"/>
  <c r="AT9" i="26"/>
  <c r="AR9" i="26"/>
  <c r="AP9" i="26"/>
  <c r="AN9" i="26"/>
  <c r="AL9" i="26"/>
  <c r="AJ9" i="26"/>
  <c r="AH9" i="26"/>
  <c r="AF9" i="26"/>
  <c r="AD9" i="26"/>
  <c r="AB9" i="26"/>
  <c r="Z9" i="26"/>
  <c r="X9" i="26"/>
  <c r="V9" i="26"/>
  <c r="T9" i="26"/>
  <c r="R9" i="26"/>
  <c r="P9" i="26"/>
  <c r="N9" i="26"/>
  <c r="L9" i="26"/>
  <c r="J9" i="26"/>
  <c r="H9" i="26"/>
  <c r="F9" i="26"/>
  <c r="D9" i="26"/>
  <c r="AU40" i="26" l="1"/>
  <c r="AU36" i="26"/>
  <c r="AU33" i="26"/>
  <c r="AU28" i="26"/>
  <c r="AU13" i="26"/>
  <c r="AS40" i="26"/>
  <c r="AS36" i="26"/>
  <c r="AS33" i="26"/>
  <c r="AS28" i="26"/>
  <c r="AS13" i="26"/>
  <c r="AQ40" i="26"/>
  <c r="AQ36" i="26"/>
  <c r="AQ33" i="26"/>
  <c r="AQ28" i="26"/>
  <c r="AQ13" i="26"/>
  <c r="AM33" i="26"/>
  <c r="W27" i="26" l="1"/>
  <c r="W26" i="26"/>
  <c r="W25" i="26"/>
  <c r="W24" i="26"/>
  <c r="W23" i="26"/>
  <c r="W21" i="26"/>
  <c r="W15" i="26"/>
  <c r="W14" i="26"/>
  <c r="S27" i="26"/>
  <c r="S26" i="26"/>
  <c r="S25" i="26"/>
  <c r="S24" i="26"/>
  <c r="S23" i="26"/>
  <c r="S21" i="26"/>
  <c r="S15" i="26"/>
  <c r="S14" i="26"/>
  <c r="Q27" i="26"/>
  <c r="Q26" i="26"/>
  <c r="Q25" i="26"/>
  <c r="Q24" i="26"/>
  <c r="Q23" i="26"/>
  <c r="Q21" i="26"/>
  <c r="Q15" i="26"/>
  <c r="Q14" i="26"/>
  <c r="O27" i="26"/>
  <c r="O26" i="26"/>
  <c r="O25" i="26"/>
  <c r="O24" i="26"/>
  <c r="O23" i="26"/>
  <c r="O21" i="26"/>
  <c r="O15" i="26"/>
  <c r="O14" i="26"/>
  <c r="AG27" i="26"/>
  <c r="AG26" i="26"/>
  <c r="AG25" i="26"/>
  <c r="AG24" i="26"/>
  <c r="AG23" i="26"/>
  <c r="AG21" i="26"/>
  <c r="AG20" i="26"/>
  <c r="AG19" i="26"/>
  <c r="AG18" i="26"/>
  <c r="AG17" i="26"/>
  <c r="AG16" i="26"/>
  <c r="AG15" i="26"/>
  <c r="AG14" i="26"/>
  <c r="AC27" i="26"/>
  <c r="AC26" i="26"/>
  <c r="AC25" i="26"/>
  <c r="AC24" i="26"/>
  <c r="AC23" i="26"/>
  <c r="AC21" i="26"/>
  <c r="AC20" i="26"/>
  <c r="AC19" i="26"/>
  <c r="AC18" i="26"/>
  <c r="AC17" i="26"/>
  <c r="AC16" i="26"/>
  <c r="AC15" i="26"/>
  <c r="AC14" i="26"/>
  <c r="AS27" i="26" l="1"/>
  <c r="AS26" i="26"/>
  <c r="AS25" i="26"/>
  <c r="AS24" i="26"/>
  <c r="AS23" i="26"/>
  <c r="AS22" i="26"/>
  <c r="AS21" i="26"/>
  <c r="AS15" i="26"/>
  <c r="AS14" i="26"/>
  <c r="U27" i="26"/>
  <c r="U26" i="26"/>
  <c r="U25" i="26"/>
  <c r="U24" i="26"/>
  <c r="U23" i="26"/>
  <c r="U22" i="26"/>
  <c r="U21" i="26"/>
  <c r="U15" i="26"/>
  <c r="U14" i="26"/>
  <c r="M27" i="26"/>
  <c r="M26" i="26"/>
  <c r="M25" i="26"/>
  <c r="M24" i="26"/>
  <c r="M23" i="26"/>
  <c r="M22" i="26"/>
  <c r="M21" i="26"/>
  <c r="M15" i="26"/>
  <c r="M14" i="26"/>
  <c r="Y27" i="26" l="1"/>
  <c r="Y26" i="26"/>
  <c r="Y25" i="26"/>
  <c r="Y24" i="26"/>
  <c r="G27" i="26"/>
  <c r="G26" i="26"/>
  <c r="G25" i="26"/>
  <c r="G24" i="26"/>
  <c r="G23" i="26"/>
  <c r="E111" i="3" l="1"/>
  <c r="D111" i="3"/>
  <c r="AA85" i="3" l="1"/>
  <c r="AA83" i="3"/>
  <c r="AA80" i="3"/>
  <c r="AA78" i="3"/>
  <c r="AA76" i="3"/>
  <c r="AA77" i="3"/>
  <c r="Y20" i="26"/>
  <c r="Y19" i="26"/>
  <c r="Y17" i="26"/>
  <c r="AM20" i="26"/>
  <c r="AM19" i="26"/>
  <c r="AM17" i="26"/>
  <c r="H15" i="26" l="1"/>
  <c r="Q100" i="3" l="1"/>
  <c r="R100" i="3" s="1"/>
  <c r="Q99" i="3"/>
  <c r="R99" i="3" s="1"/>
  <c r="Q98" i="3"/>
  <c r="R98" i="3" s="1"/>
  <c r="Q97" i="3"/>
  <c r="R97" i="3" s="1"/>
  <c r="Q96" i="3"/>
  <c r="Q95" i="3"/>
  <c r="Q94" i="3"/>
  <c r="R94" i="3" s="1"/>
  <c r="Q93" i="3"/>
  <c r="R93" i="3" s="1"/>
  <c r="Q92" i="3"/>
  <c r="R92" i="3" s="1"/>
  <c r="Q91" i="3"/>
  <c r="R91" i="3" s="1"/>
  <c r="Q90" i="3"/>
  <c r="R90" i="3" s="1"/>
  <c r="Q89" i="3"/>
  <c r="R89" i="3" s="1"/>
  <c r="Q88" i="3"/>
  <c r="R88" i="3" s="1"/>
  <c r="Q87" i="3"/>
  <c r="R87" i="3" s="1"/>
  <c r="Q86" i="3"/>
  <c r="R86" i="3" s="1"/>
  <c r="Q85" i="3"/>
  <c r="R85" i="3" s="1"/>
  <c r="Q84" i="3"/>
  <c r="Q83" i="3"/>
  <c r="Q82" i="3"/>
  <c r="R82" i="3" s="1"/>
  <c r="Q81" i="3"/>
  <c r="R81" i="3" s="1"/>
  <c r="Q80" i="3"/>
  <c r="R80" i="3" s="1"/>
  <c r="Q79" i="3"/>
  <c r="R79" i="3" s="1"/>
  <c r="Q78" i="3"/>
  <c r="R78" i="3" s="1"/>
  <c r="Q77" i="3"/>
  <c r="Q76" i="3"/>
  <c r="R76" i="3" s="1"/>
  <c r="Q75" i="3"/>
  <c r="R75" i="3" s="1"/>
  <c r="Q74" i="3"/>
  <c r="R74" i="3" s="1"/>
  <c r="Q73" i="3"/>
  <c r="R73" i="3" s="1"/>
  <c r="R96" i="3"/>
  <c r="R95" i="3"/>
  <c r="R84" i="3"/>
  <c r="R83" i="3"/>
  <c r="R77" i="3"/>
  <c r="Q72" i="3"/>
  <c r="R72" i="3" s="1"/>
  <c r="Q71" i="3"/>
  <c r="R71" i="3" s="1"/>
  <c r="M93" i="3" l="1"/>
  <c r="M78" i="3"/>
  <c r="M77" i="3"/>
  <c r="M76" i="3"/>
  <c r="M75" i="3"/>
  <c r="M74" i="3"/>
  <c r="M73" i="3"/>
  <c r="M72" i="3"/>
  <c r="M71" i="3" l="1"/>
  <c r="O71" i="3" s="1"/>
  <c r="G20" i="26"/>
  <c r="G19" i="26"/>
  <c r="G17" i="26"/>
  <c r="AR14" i="26" l="1"/>
  <c r="AL14" i="26"/>
  <c r="AM14" i="26" s="1"/>
  <c r="X14" i="26"/>
  <c r="Y14" i="26" s="1"/>
  <c r="V14" i="26"/>
  <c r="T14" i="26"/>
  <c r="P14" i="26"/>
  <c r="L14" i="26"/>
  <c r="F14" i="26"/>
  <c r="G14" i="26" s="1"/>
  <c r="U71" i="3"/>
  <c r="T100" i="3"/>
  <c r="T99" i="3"/>
  <c r="U99" i="3" s="1"/>
  <c r="T98" i="3"/>
  <c r="T97" i="3"/>
  <c r="U97" i="3" s="1"/>
  <c r="T96" i="3"/>
  <c r="U96" i="3" s="1"/>
  <c r="T95" i="3"/>
  <c r="U95" i="3" s="1"/>
  <c r="T94" i="3"/>
  <c r="U94" i="3" s="1"/>
  <c r="T93" i="3"/>
  <c r="T92" i="3"/>
  <c r="U92" i="3" s="1"/>
  <c r="T91" i="3"/>
  <c r="T90" i="3"/>
  <c r="T89" i="3"/>
  <c r="T88" i="3"/>
  <c r="T87" i="3"/>
  <c r="U87" i="3" s="1"/>
  <c r="V87" i="3" s="1"/>
  <c r="T86" i="3"/>
  <c r="T85" i="3"/>
  <c r="U85" i="3" s="1"/>
  <c r="T84" i="3"/>
  <c r="U84" i="3" s="1"/>
  <c r="T83" i="3"/>
  <c r="U83" i="3" s="1"/>
  <c r="T82" i="3"/>
  <c r="U82" i="3" s="1"/>
  <c r="V82" i="3" s="1"/>
  <c r="T81" i="3"/>
  <c r="T80" i="3"/>
  <c r="U80" i="3" s="1"/>
  <c r="T79" i="3"/>
  <c r="T78" i="3"/>
  <c r="T77" i="3"/>
  <c r="T76" i="3"/>
  <c r="T75" i="3"/>
  <c r="U75" i="3" s="1"/>
  <c r="T74" i="3"/>
  <c r="T73" i="3"/>
  <c r="U73" i="3" s="1"/>
  <c r="T72" i="3"/>
  <c r="U72" i="3" s="1"/>
  <c r="T71" i="3"/>
  <c r="I100" i="3"/>
  <c r="E140" i="3" s="1"/>
  <c r="I99" i="3"/>
  <c r="E139" i="3" s="1"/>
  <c r="I98" i="3"/>
  <c r="E138" i="3" s="1"/>
  <c r="I97" i="3"/>
  <c r="E137" i="3" s="1"/>
  <c r="I96" i="3"/>
  <c r="E136" i="3" s="1"/>
  <c r="I95" i="3"/>
  <c r="E135" i="3" s="1"/>
  <c r="I94" i="3"/>
  <c r="E134" i="3" s="1"/>
  <c r="I93" i="3"/>
  <c r="E133" i="3" s="1"/>
  <c r="I92" i="3"/>
  <c r="E132" i="3" s="1"/>
  <c r="I91" i="3"/>
  <c r="E131" i="3" s="1"/>
  <c r="I90" i="3"/>
  <c r="E130" i="3" s="1"/>
  <c r="I89" i="3"/>
  <c r="E129" i="3" s="1"/>
  <c r="I88" i="3"/>
  <c r="E128" i="3" s="1"/>
  <c r="I87" i="3"/>
  <c r="E127" i="3" s="1"/>
  <c r="I86" i="3"/>
  <c r="E126" i="3" s="1"/>
  <c r="I85" i="3"/>
  <c r="E125" i="3" s="1"/>
  <c r="I84" i="3"/>
  <c r="E124" i="3" s="1"/>
  <c r="I83" i="3"/>
  <c r="E123" i="3" s="1"/>
  <c r="I82" i="3"/>
  <c r="E122" i="3" s="1"/>
  <c r="I81" i="3"/>
  <c r="E121" i="3" s="1"/>
  <c r="I80" i="3"/>
  <c r="E120" i="3" s="1"/>
  <c r="I79" i="3"/>
  <c r="E119" i="3" s="1"/>
  <c r="I78" i="3"/>
  <c r="E118" i="3" s="1"/>
  <c r="I77" i="3"/>
  <c r="E117" i="3" s="1"/>
  <c r="I76" i="3"/>
  <c r="E116" i="3" s="1"/>
  <c r="I75" i="3"/>
  <c r="E115" i="3" s="1"/>
  <c r="I74" i="3"/>
  <c r="E114" i="3" s="1"/>
  <c r="I73" i="3"/>
  <c r="E113" i="3" s="1"/>
  <c r="I72" i="3"/>
  <c r="E112" i="3" s="1"/>
  <c r="H100" i="3"/>
  <c r="D140" i="3" s="1"/>
  <c r="H99" i="3"/>
  <c r="D139" i="3" s="1"/>
  <c r="H98" i="3"/>
  <c r="D138" i="3" s="1"/>
  <c r="H97" i="3"/>
  <c r="D137" i="3" s="1"/>
  <c r="H96" i="3"/>
  <c r="D136" i="3" s="1"/>
  <c r="H95" i="3"/>
  <c r="D135" i="3" s="1"/>
  <c r="H94" i="3"/>
  <c r="D134" i="3" s="1"/>
  <c r="H93" i="3"/>
  <c r="D133" i="3" s="1"/>
  <c r="H92" i="3"/>
  <c r="D132" i="3" s="1"/>
  <c r="H91" i="3"/>
  <c r="D131" i="3" s="1"/>
  <c r="H90" i="3"/>
  <c r="D130" i="3" s="1"/>
  <c r="H89" i="3"/>
  <c r="D129" i="3" s="1"/>
  <c r="H88" i="3"/>
  <c r="D128" i="3" s="1"/>
  <c r="H87" i="3"/>
  <c r="D127" i="3" s="1"/>
  <c r="H86" i="3"/>
  <c r="D126" i="3" s="1"/>
  <c r="H85" i="3"/>
  <c r="D125" i="3" s="1"/>
  <c r="H84" i="3"/>
  <c r="D124" i="3" s="1"/>
  <c r="H83" i="3"/>
  <c r="D123" i="3" s="1"/>
  <c r="H82" i="3"/>
  <c r="D122" i="3" s="1"/>
  <c r="H81" i="3"/>
  <c r="D121" i="3" s="1"/>
  <c r="H80" i="3"/>
  <c r="D120" i="3" s="1"/>
  <c r="H79" i="3"/>
  <c r="D119" i="3" s="1"/>
  <c r="H78" i="3"/>
  <c r="D118" i="3" s="1"/>
  <c r="H77" i="3"/>
  <c r="D117" i="3" s="1"/>
  <c r="H76" i="3"/>
  <c r="D116" i="3" s="1"/>
  <c r="H75" i="3"/>
  <c r="D115" i="3" s="1"/>
  <c r="H74" i="3"/>
  <c r="D114" i="3" s="1"/>
  <c r="H73" i="3"/>
  <c r="D113" i="3" s="1"/>
  <c r="H72" i="3"/>
  <c r="D112" i="3" s="1"/>
  <c r="I71" i="3"/>
  <c r="H7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U76" i="3" l="1"/>
  <c r="U77" i="3"/>
  <c r="U89" i="3"/>
  <c r="U79" i="3"/>
  <c r="U91" i="3"/>
  <c r="U88" i="3"/>
  <c r="U78" i="3"/>
  <c r="U90" i="3"/>
  <c r="U81" i="3"/>
  <c r="U93" i="3"/>
  <c r="U100" i="3"/>
  <c r="U74" i="3"/>
  <c r="U86" i="3"/>
  <c r="U98" i="3"/>
  <c r="AS11" i="26"/>
  <c r="AS9" i="26"/>
  <c r="AS7" i="26" s="1"/>
  <c r="AS62" i="26" s="1"/>
  <c r="AS8" i="26"/>
  <c r="W10" i="26"/>
  <c r="W9" i="26"/>
  <c r="W8" i="26"/>
  <c r="U10" i="26"/>
  <c r="U9" i="26"/>
  <c r="U8" i="26"/>
  <c r="S10" i="26"/>
  <c r="S9" i="26"/>
  <c r="S8" i="26"/>
  <c r="Q10" i="26"/>
  <c r="Q9" i="26"/>
  <c r="Q8" i="26"/>
  <c r="O10" i="26"/>
  <c r="O9" i="26"/>
  <c r="O8" i="26"/>
  <c r="M9" i="26" l="1"/>
  <c r="M8" i="26"/>
  <c r="BJ11" i="26"/>
  <c r="BK11" i="26" s="1"/>
  <c r="BH11" i="26"/>
  <c r="BI11" i="26" s="1"/>
  <c r="BG11" i="26"/>
  <c r="BF11" i="26"/>
  <c r="BE11" i="26"/>
  <c r="BD11" i="26"/>
  <c r="BC11" i="26"/>
  <c r="BB11" i="26"/>
  <c r="BA11" i="26"/>
  <c r="AZ11" i="26"/>
  <c r="AY11" i="26"/>
  <c r="AX11" i="26"/>
  <c r="AW11" i="26"/>
  <c r="AV11" i="26"/>
  <c r="AU11" i="26"/>
  <c r="AT11" i="26"/>
  <c r="AR11" i="26"/>
  <c r="AQ11" i="26"/>
  <c r="AP11" i="26"/>
  <c r="AO11" i="26"/>
  <c r="AN11" i="26"/>
  <c r="AM11" i="26"/>
  <c r="AL11" i="26"/>
  <c r="AK11" i="26"/>
  <c r="AJ11" i="26"/>
  <c r="AI11" i="26"/>
  <c r="AH11" i="26"/>
  <c r="AG11" i="26"/>
  <c r="AF11" i="26"/>
  <c r="AE11" i="26"/>
  <c r="AD11" i="26"/>
  <c r="AC11" i="26"/>
  <c r="AB11" i="26"/>
  <c r="AA11" i="26"/>
  <c r="Z11" i="26"/>
  <c r="Y11" i="26"/>
  <c r="X11" i="26"/>
  <c r="V11" i="26" l="1"/>
  <c r="T11" i="26"/>
  <c r="R11" i="26"/>
  <c r="P11" i="26"/>
  <c r="N11" i="26"/>
  <c r="L11" i="26"/>
  <c r="K11" i="26"/>
  <c r="J11" i="26"/>
  <c r="I11" i="26"/>
  <c r="H11" i="26"/>
  <c r="G11" i="26"/>
  <c r="F11" i="26"/>
  <c r="E11" i="26"/>
  <c r="D11" i="26"/>
  <c r="D47" i="27"/>
  <c r="D46" i="27"/>
  <c r="D45" i="27"/>
  <c r="D44" i="27"/>
  <c r="D43" i="27"/>
  <c r="D42" i="27"/>
  <c r="D41" i="27"/>
  <c r="D40" i="27"/>
  <c r="D39" i="27"/>
  <c r="D38" i="27"/>
  <c r="D37" i="27"/>
  <c r="D36" i="27"/>
  <c r="D35" i="27"/>
  <c r="D34" i="27"/>
  <c r="D33" i="27"/>
  <c r="D32" i="27"/>
  <c r="D31" i="27"/>
  <c r="D30" i="27"/>
  <c r="D29" i="27"/>
  <c r="D28" i="27"/>
  <c r="D27" i="27"/>
  <c r="D26" i="27"/>
  <c r="D25" i="27"/>
  <c r="D24" i="27"/>
  <c r="D23" i="27"/>
  <c r="D22" i="27"/>
  <c r="D21" i="27"/>
  <c r="D20" i="27"/>
  <c r="D19" i="27"/>
  <c r="D18" i="27"/>
  <c r="BJ10" i="26"/>
  <c r="G46" i="8"/>
  <c r="BH10" i="26"/>
  <c r="G45" i="8"/>
  <c r="BF10" i="26"/>
  <c r="G44" i="8"/>
  <c r="BD10" i="26"/>
  <c r="G43" i="8"/>
  <c r="BB10" i="26"/>
  <c r="G42" i="8"/>
  <c r="AZ10" i="26"/>
  <c r="G41" i="8"/>
  <c r="AX10" i="26"/>
  <c r="G40" i="8"/>
  <c r="AV10" i="26"/>
  <c r="G39" i="8"/>
  <c r="AT10" i="26"/>
  <c r="G38" i="8"/>
  <c r="AR10" i="26"/>
  <c r="AP10" i="26"/>
  <c r="G36" i="8"/>
  <c r="AN10" i="26"/>
  <c r="G35" i="8"/>
  <c r="AL10" i="26"/>
  <c r="G34" i="8"/>
  <c r="AJ10" i="26"/>
  <c r="G33" i="8"/>
  <c r="AH10" i="26"/>
  <c r="G32" i="8"/>
  <c r="AF10" i="26"/>
  <c r="G31" i="8"/>
  <c r="AD10" i="26"/>
  <c r="G30" i="8"/>
  <c r="AB10" i="26"/>
  <c r="G29" i="8"/>
  <c r="Z10" i="26"/>
  <c r="G28" i="8"/>
  <c r="X10" i="26"/>
  <c r="G27" i="8"/>
  <c r="V10" i="26"/>
  <c r="G26" i="8"/>
  <c r="T10" i="26"/>
  <c r="G25" i="8"/>
  <c r="R10" i="26" l="1"/>
  <c r="G24" i="8"/>
  <c r="P10" i="26"/>
  <c r="G23" i="8"/>
  <c r="N10" i="26"/>
  <c r="G22" i="8" l="1"/>
  <c r="J10" i="26"/>
  <c r="G20" i="8"/>
  <c r="L10" i="26"/>
  <c r="H10" i="26"/>
  <c r="G18" i="8"/>
  <c r="F10" i="26"/>
  <c r="G10" i="26" l="1"/>
  <c r="I10" i="26"/>
  <c r="K10" i="26"/>
  <c r="D10" i="26"/>
  <c r="G17" i="8"/>
  <c r="BK9" i="26"/>
  <c r="BI9" i="26"/>
  <c r="BG9" i="26"/>
  <c r="BE9" i="26"/>
  <c r="BC9" i="26"/>
  <c r="BA9" i="26"/>
  <c r="AY9" i="26"/>
  <c r="AW9" i="26"/>
  <c r="AW7" i="26" s="1"/>
  <c r="AW62" i="26" s="1"/>
  <c r="AU9" i="26"/>
  <c r="AU7" i="26" s="1"/>
  <c r="AU62" i="26" s="1"/>
  <c r="AQ9" i="26"/>
  <c r="AQ7" i="26" s="1"/>
  <c r="AQ62" i="26" s="1"/>
  <c r="AO9" i="26"/>
  <c r="AM9" i="26"/>
  <c r="AK9" i="26"/>
  <c r="AI9" i="26"/>
  <c r="AG9" i="26"/>
  <c r="AE9" i="26"/>
  <c r="AC9" i="26"/>
  <c r="AA9" i="26"/>
  <c r="AA7" i="26" s="1"/>
  <c r="Y9" i="26"/>
  <c r="K9" i="26"/>
  <c r="I9" i="26"/>
  <c r="G9" i="26"/>
  <c r="E9" i="26"/>
  <c r="E7" i="26" s="1"/>
  <c r="BF8" i="26"/>
  <c r="AP16" i="26" l="1"/>
  <c r="AW32" i="26" l="1"/>
  <c r="AW30" i="26"/>
  <c r="AW29" i="26"/>
  <c r="AU32" i="26"/>
  <c r="AU30" i="26"/>
  <c r="AU29" i="26"/>
  <c r="W32" i="26"/>
  <c r="W30" i="26"/>
  <c r="W29" i="26"/>
  <c r="U32" i="26"/>
  <c r="U30" i="26"/>
  <c r="U29" i="26"/>
  <c r="S32" i="26"/>
  <c r="S30" i="26"/>
  <c r="S29" i="26"/>
  <c r="Q32" i="26"/>
  <c r="Q30" i="26"/>
  <c r="Q29" i="26"/>
  <c r="O32" i="26"/>
  <c r="O30" i="26"/>
  <c r="O29" i="26"/>
  <c r="AS32" i="26" l="1"/>
  <c r="M32" i="26"/>
  <c r="AD15" i="6"/>
  <c r="AC15" i="6"/>
  <c r="AA15" i="6"/>
  <c r="Q15" i="6"/>
  <c r="T15" i="6"/>
  <c r="R15" i="6"/>
  <c r="Z15" i="6"/>
  <c r="U13" i="6"/>
  <c r="R13" i="6"/>
  <c r="Q13" i="6"/>
  <c r="P11" i="6"/>
  <c r="N13" i="6"/>
  <c r="E13" i="6"/>
  <c r="D11" i="6"/>
  <c r="C54" i="6" l="1"/>
  <c r="H27" i="7" l="1"/>
  <c r="G27" i="7"/>
  <c r="F27" i="7"/>
  <c r="J27" i="7"/>
  <c r="AJ27" i="7"/>
  <c r="AI27" i="7"/>
  <c r="AH27" i="7"/>
  <c r="AG27" i="7"/>
  <c r="AF27" i="7"/>
  <c r="AE27" i="7"/>
  <c r="AD27" i="7"/>
  <c r="AC27" i="7"/>
  <c r="AB27" i="7"/>
  <c r="AA27" i="7"/>
  <c r="Z27" i="7"/>
  <c r="Y27" i="7"/>
  <c r="X27" i="7"/>
  <c r="W27" i="7"/>
  <c r="V27" i="7"/>
  <c r="U27" i="7"/>
  <c r="T27" i="7"/>
  <c r="S27" i="7"/>
  <c r="R27" i="7"/>
  <c r="Q27" i="7"/>
  <c r="P27" i="7"/>
  <c r="N27" i="7"/>
  <c r="M27" i="7"/>
  <c r="L27" i="7"/>
  <c r="K27" i="7"/>
  <c r="I27" i="7"/>
  <c r="BJ15" i="13"/>
  <c r="BH15" i="13"/>
  <c r="BF15" i="13"/>
  <c r="BD15" i="13"/>
  <c r="BB15" i="13"/>
  <c r="AZ15" i="13"/>
  <c r="AX15" i="13"/>
  <c r="AV15" i="13"/>
  <c r="AT15" i="13"/>
  <c r="AR15" i="13"/>
  <c r="AP15" i="13"/>
  <c r="AN15" i="13"/>
  <c r="AL15" i="13"/>
  <c r="AJ15" i="13"/>
  <c r="AH15" i="13"/>
  <c r="AF15" i="13"/>
  <c r="AD15" i="13"/>
  <c r="AB15" i="13"/>
  <c r="Z15" i="13"/>
  <c r="X15" i="13"/>
  <c r="V15" i="13"/>
  <c r="P11" i="7" l="1"/>
  <c r="N11" i="7"/>
  <c r="M11" i="7"/>
  <c r="L11" i="7"/>
  <c r="K11" i="7"/>
  <c r="J11" i="7"/>
  <c r="I11" i="7"/>
  <c r="D9" i="13" l="1"/>
  <c r="BJ27" i="26" l="1"/>
  <c r="BH27" i="26"/>
  <c r="BF27" i="26"/>
  <c r="BD27" i="26"/>
  <c r="BB27" i="26"/>
  <c r="AZ27" i="26"/>
  <c r="AX27" i="26"/>
  <c r="AV27" i="26"/>
  <c r="AT27" i="26"/>
  <c r="AR27" i="26"/>
  <c r="AP27" i="26"/>
  <c r="AN27" i="26"/>
  <c r="AL27" i="26"/>
  <c r="AM27" i="26" s="1"/>
  <c r="AJ27" i="26"/>
  <c r="AH27" i="26"/>
  <c r="AF27" i="26"/>
  <c r="AD27" i="26"/>
  <c r="AB27" i="26"/>
  <c r="Z27" i="26"/>
  <c r="X27" i="26"/>
  <c r="V27" i="26"/>
  <c r="T27" i="26"/>
  <c r="R27" i="26"/>
  <c r="P27" i="26"/>
  <c r="N27" i="26"/>
  <c r="L27" i="26"/>
  <c r="J27" i="26"/>
  <c r="H27" i="26"/>
  <c r="F27" i="26"/>
  <c r="D27" i="26"/>
  <c r="N83" i="22"/>
  <c r="N82" i="22"/>
  <c r="N81" i="22"/>
  <c r="N80" i="22"/>
  <c r="N79" i="22"/>
  <c r="N78" i="22"/>
  <c r="N77" i="22"/>
  <c r="N76" i="22"/>
  <c r="N75" i="22"/>
  <c r="N74" i="22"/>
  <c r="N73" i="22"/>
  <c r="N72" i="22"/>
  <c r="N71" i="22"/>
  <c r="N70" i="22"/>
  <c r="N69" i="22"/>
  <c r="N68" i="22"/>
  <c r="N67" i="22"/>
  <c r="N66" i="22"/>
  <c r="N65" i="22"/>
  <c r="N64" i="22"/>
  <c r="N63" i="22"/>
  <c r="N62" i="22"/>
  <c r="N61" i="22"/>
  <c r="N60" i="22"/>
  <c r="N59" i="22"/>
  <c r="N58" i="22"/>
  <c r="N57" i="22"/>
  <c r="N56" i="22" l="1"/>
  <c r="N55" i="22"/>
  <c r="N54" i="22"/>
  <c r="AW38" i="26" l="1"/>
  <c r="AU38" i="26"/>
  <c r="AU37" i="26"/>
  <c r="AS38" i="26"/>
  <c r="AS37" i="26"/>
  <c r="W38" i="26"/>
  <c r="W37" i="26"/>
  <c r="U38" i="26"/>
  <c r="U37" i="26"/>
  <c r="S38" i="26"/>
  <c r="Q38" i="26"/>
  <c r="Q37" i="26"/>
  <c r="O38" i="26"/>
  <c r="O37" i="26"/>
  <c r="M38" i="26"/>
  <c r="M37" i="26"/>
  <c r="BH47" i="26" l="1"/>
  <c r="BH46" i="26"/>
  <c r="BH45" i="26"/>
  <c r="BH44" i="26"/>
  <c r="BH43" i="26"/>
  <c r="BH42" i="26"/>
  <c r="BH41" i="26"/>
  <c r="BF47" i="26"/>
  <c r="BF46" i="26"/>
  <c r="BF45" i="26"/>
  <c r="BF44" i="26"/>
  <c r="BF43" i="26"/>
  <c r="BF42" i="26"/>
  <c r="BF41" i="26"/>
  <c r="BJ47" i="26"/>
  <c r="BJ46" i="26"/>
  <c r="BJ45" i="26"/>
  <c r="BJ44" i="26"/>
  <c r="BJ43" i="26"/>
  <c r="BJ42" i="26"/>
  <c r="BJ41" i="26"/>
  <c r="BD47" i="26"/>
  <c r="BD46" i="26"/>
  <c r="BD45" i="26"/>
  <c r="BD44" i="26"/>
  <c r="BD43" i="26"/>
  <c r="BD42" i="26"/>
  <c r="BD41" i="26"/>
  <c r="BB47" i="26" l="1"/>
  <c r="BB46" i="26"/>
  <c r="BB45" i="26"/>
  <c r="BB44" i="26"/>
  <c r="BB43" i="26"/>
  <c r="BB42" i="26"/>
  <c r="BB41" i="26"/>
  <c r="AZ47" i="26"/>
  <c r="AZ46" i="26"/>
  <c r="AZ45" i="26"/>
  <c r="AZ44" i="26"/>
  <c r="AZ43" i="26"/>
  <c r="AZ42" i="26"/>
  <c r="AZ41" i="26"/>
  <c r="AX47" i="26"/>
  <c r="AX46" i="26"/>
  <c r="AX45" i="26"/>
  <c r="AX44" i="26"/>
  <c r="AX43" i="26"/>
  <c r="AX42" i="26"/>
  <c r="AX41" i="26"/>
  <c r="T47" i="26"/>
  <c r="T46" i="26"/>
  <c r="T45" i="26"/>
  <c r="T44" i="26"/>
  <c r="T43" i="26"/>
  <c r="T42" i="26"/>
  <c r="T41" i="26"/>
  <c r="P47" i="26"/>
  <c r="P46" i="26"/>
  <c r="P45" i="26"/>
  <c r="P44" i="26"/>
  <c r="P43" i="26"/>
  <c r="P42" i="26"/>
  <c r="P41" i="26"/>
  <c r="V47" i="26"/>
  <c r="V46" i="26"/>
  <c r="V45" i="26"/>
  <c r="V44" i="26"/>
  <c r="V43" i="26"/>
  <c r="V42" i="26"/>
  <c r="V41" i="26"/>
  <c r="N47" i="26"/>
  <c r="N46" i="26"/>
  <c r="N45" i="26"/>
  <c r="N44" i="26"/>
  <c r="N43" i="26"/>
  <c r="N42" i="26"/>
  <c r="N41" i="26"/>
  <c r="R47" i="26"/>
  <c r="R46" i="26"/>
  <c r="R45" i="26"/>
  <c r="R44" i="26"/>
  <c r="R43" i="26"/>
  <c r="R42" i="26"/>
  <c r="R41" i="26"/>
  <c r="L47" i="26"/>
  <c r="L46" i="26"/>
  <c r="L45" i="26"/>
  <c r="L44" i="26"/>
  <c r="L43" i="26"/>
  <c r="L42" i="26"/>
  <c r="L41" i="26"/>
  <c r="J47" i="26"/>
  <c r="J46" i="26"/>
  <c r="J45" i="26"/>
  <c r="J44" i="26"/>
  <c r="J43" i="26"/>
  <c r="J42" i="26"/>
  <c r="J41" i="26"/>
  <c r="AT47" i="26"/>
  <c r="AT46" i="26"/>
  <c r="AT45" i="26"/>
  <c r="AT44" i="26"/>
  <c r="AT43" i="26"/>
  <c r="AT42" i="26"/>
  <c r="AT41" i="26"/>
  <c r="AV47" i="26"/>
  <c r="AV46" i="26"/>
  <c r="AV45" i="26"/>
  <c r="AV44" i="26"/>
  <c r="AV43" i="26"/>
  <c r="AV42" i="26"/>
  <c r="AV41" i="26"/>
  <c r="AR47" i="26"/>
  <c r="AR46" i="26"/>
  <c r="AR45" i="26"/>
  <c r="AR44" i="26"/>
  <c r="AR43" i="26"/>
  <c r="AR42" i="26"/>
  <c r="AR41" i="26"/>
  <c r="AP47" i="26"/>
  <c r="AP46" i="26"/>
  <c r="AP45" i="26"/>
  <c r="AP44" i="26"/>
  <c r="AP43" i="26"/>
  <c r="AP42" i="26"/>
  <c r="AP41" i="26"/>
  <c r="H47" i="26" l="1"/>
  <c r="H46" i="26"/>
  <c r="H45" i="26"/>
  <c r="H44" i="26"/>
  <c r="H43" i="26"/>
  <c r="H42" i="26"/>
  <c r="H41" i="26"/>
  <c r="AH47" i="26" l="1"/>
  <c r="AH46" i="26"/>
  <c r="AH45" i="26"/>
  <c r="AH44" i="26"/>
  <c r="AH43" i="26"/>
  <c r="AH42" i="26"/>
  <c r="AH41" i="26"/>
  <c r="AN47" i="26"/>
  <c r="AN46" i="26"/>
  <c r="AN45" i="26"/>
  <c r="AN44" i="26"/>
  <c r="AN43" i="26"/>
  <c r="AN42" i="26"/>
  <c r="AN41" i="26"/>
  <c r="AD47" i="26"/>
  <c r="AD46" i="26"/>
  <c r="AD45" i="26"/>
  <c r="AD44" i="26"/>
  <c r="AD43" i="26"/>
  <c r="AD42" i="26"/>
  <c r="AD41" i="26"/>
  <c r="AJ47" i="26"/>
  <c r="AJ46" i="26"/>
  <c r="AJ45" i="26"/>
  <c r="AJ44" i="26"/>
  <c r="AJ43" i="26"/>
  <c r="AJ42" i="26"/>
  <c r="AJ41" i="26"/>
  <c r="Z47" i="26"/>
  <c r="Z46" i="26"/>
  <c r="Z45" i="26"/>
  <c r="Z44" i="26"/>
  <c r="Z43" i="26"/>
  <c r="Z42" i="26"/>
  <c r="Z41" i="26"/>
  <c r="X47" i="26"/>
  <c r="X46" i="26"/>
  <c r="X45" i="26"/>
  <c r="X44" i="26"/>
  <c r="X43" i="26"/>
  <c r="X42" i="26"/>
  <c r="X41" i="26"/>
  <c r="AB47" i="26"/>
  <c r="AB46" i="26"/>
  <c r="AB45" i="26"/>
  <c r="AB44" i="26"/>
  <c r="AB43" i="26"/>
  <c r="AB42" i="26"/>
  <c r="AB41" i="26"/>
  <c r="AL47" i="26"/>
  <c r="AL46" i="26"/>
  <c r="AL45" i="26"/>
  <c r="AL44" i="26"/>
  <c r="AL43" i="26"/>
  <c r="AL42" i="26"/>
  <c r="AL41" i="26"/>
  <c r="AA38" i="30"/>
  <c r="AA37" i="30"/>
  <c r="AA36" i="30"/>
  <c r="AA35" i="30"/>
  <c r="AA34" i="30"/>
  <c r="AA33" i="30"/>
  <c r="AA32" i="30"/>
  <c r="AA31" i="30"/>
  <c r="AA30" i="30"/>
  <c r="AA29" i="30"/>
  <c r="AA28" i="30"/>
  <c r="AA27" i="30"/>
  <c r="AA26" i="30"/>
  <c r="AA25" i="30"/>
  <c r="AA24" i="30"/>
  <c r="AA23" i="30"/>
  <c r="AA22" i="30"/>
  <c r="AA21" i="30"/>
  <c r="AA20" i="30"/>
  <c r="AA19" i="30"/>
  <c r="AA18" i="30"/>
  <c r="AA17" i="30"/>
  <c r="AA16" i="30"/>
  <c r="AA15" i="30"/>
  <c r="AA14" i="30"/>
  <c r="AA13" i="30"/>
  <c r="AA12" i="30"/>
  <c r="F47" i="26"/>
  <c r="AA11" i="30"/>
  <c r="F46" i="26"/>
  <c r="F45" i="26"/>
  <c r="F44" i="26"/>
  <c r="F43" i="26"/>
  <c r="F42" i="26"/>
  <c r="F41" i="26"/>
  <c r="AF47" i="26"/>
  <c r="AA10" i="30"/>
  <c r="AF46" i="26"/>
  <c r="AF45" i="26"/>
  <c r="AF44" i="26"/>
  <c r="AF43" i="26"/>
  <c r="AF42" i="26"/>
  <c r="AF41" i="26"/>
  <c r="D47" i="26" l="1"/>
  <c r="AA9" i="30" l="1"/>
  <c r="D46" i="26"/>
  <c r="D45" i="26"/>
  <c r="D44" i="26" l="1"/>
  <c r="AD39" i="30" l="1"/>
  <c r="T39" i="30"/>
  <c r="S39" i="30"/>
  <c r="D39" i="30"/>
  <c r="C39" i="30"/>
  <c r="Z34" i="30"/>
  <c r="V34" i="30"/>
  <c r="J27" i="30"/>
  <c r="I27" i="30"/>
  <c r="F27" i="30"/>
  <c r="E27" i="30"/>
  <c r="J25" i="30"/>
  <c r="I25" i="30"/>
  <c r="F25" i="30"/>
  <c r="E25" i="30"/>
  <c r="J23" i="30"/>
  <c r="I23" i="30"/>
  <c r="F23" i="30"/>
  <c r="E23" i="30"/>
  <c r="J21" i="30"/>
  <c r="I21" i="30"/>
  <c r="F21" i="30"/>
  <c r="E21" i="30"/>
  <c r="Z17" i="30"/>
  <c r="V17" i="30"/>
  <c r="Z15" i="30"/>
  <c r="V15" i="30"/>
  <c r="Z11" i="30"/>
  <c r="V11" i="30"/>
  <c r="J9" i="30"/>
  <c r="I9" i="30"/>
  <c r="F9" i="30"/>
  <c r="E9" i="30"/>
  <c r="D30" i="28"/>
  <c r="D29" i="28"/>
  <c r="D28" i="28"/>
  <c r="D27" i="28"/>
  <c r="D24" i="28"/>
  <c r="O23" i="28"/>
  <c r="N23" i="28"/>
  <c r="J23" i="28"/>
  <c r="F23" i="28"/>
  <c r="D23" i="28"/>
  <c r="D22" i="28"/>
  <c r="O21" i="28"/>
  <c r="N21" i="28"/>
  <c r="J21" i="28"/>
  <c r="F21" i="28"/>
  <c r="D21" i="28"/>
  <c r="D20" i="28"/>
  <c r="D17" i="28"/>
  <c r="D16" i="28"/>
  <c r="D15" i="28"/>
  <c r="D14" i="28"/>
  <c r="D13" i="28"/>
  <c r="C48" i="27"/>
  <c r="B48" i="27"/>
  <c r="C102" i="24"/>
  <c r="B102" i="24"/>
  <c r="F100" i="24"/>
  <c r="C100" i="24"/>
  <c r="B100" i="24"/>
  <c r="F99" i="24"/>
  <c r="C99" i="24"/>
  <c r="B99" i="24"/>
  <c r="F98" i="24"/>
  <c r="E98" i="24"/>
  <c r="C98" i="24"/>
  <c r="B98" i="24"/>
  <c r="F97" i="24"/>
  <c r="C97" i="24"/>
  <c r="B97" i="24"/>
  <c r="F96" i="24"/>
  <c r="C96" i="24"/>
  <c r="B96" i="24"/>
  <c r="F95" i="24"/>
  <c r="C95" i="24"/>
  <c r="B95" i="24"/>
  <c r="F94" i="24"/>
  <c r="C94" i="24"/>
  <c r="B94" i="24"/>
  <c r="F93" i="24"/>
  <c r="C93" i="24"/>
  <c r="B93" i="24"/>
  <c r="F92" i="24"/>
  <c r="C92" i="24"/>
  <c r="B92" i="24"/>
  <c r="F91" i="24"/>
  <c r="C91" i="24"/>
  <c r="B91" i="24"/>
  <c r="F90" i="24"/>
  <c r="C90" i="24"/>
  <c r="B90" i="24"/>
  <c r="F89" i="24"/>
  <c r="C89" i="24"/>
  <c r="B89" i="24"/>
  <c r="F88" i="24"/>
  <c r="C88" i="24"/>
  <c r="B88" i="24"/>
  <c r="F87" i="24"/>
  <c r="C87" i="24"/>
  <c r="B87" i="24"/>
  <c r="F86" i="24"/>
  <c r="C86" i="24"/>
  <c r="B86" i="24"/>
  <c r="F85" i="24"/>
  <c r="E85" i="24"/>
  <c r="C85" i="24"/>
  <c r="B85" i="24"/>
  <c r="F84" i="24"/>
  <c r="C84" i="24"/>
  <c r="B84" i="24"/>
  <c r="F83" i="24"/>
  <c r="E83" i="24"/>
  <c r="C83" i="24"/>
  <c r="B83" i="24"/>
  <c r="F82" i="24"/>
  <c r="C82" i="24"/>
  <c r="B82" i="24"/>
  <c r="F81" i="24"/>
  <c r="C81" i="24"/>
  <c r="B81" i="24"/>
  <c r="F80" i="24"/>
  <c r="C80" i="24"/>
  <c r="B80" i="24"/>
  <c r="F79" i="24"/>
  <c r="E79" i="24"/>
  <c r="C79" i="24"/>
  <c r="B79" i="24"/>
  <c r="F78" i="24"/>
  <c r="C78" i="24"/>
  <c r="B78" i="24"/>
  <c r="F77" i="24"/>
  <c r="C77" i="24"/>
  <c r="B77" i="24"/>
  <c r="F76" i="24"/>
  <c r="C76" i="24"/>
  <c r="B76" i="24"/>
  <c r="F75" i="24"/>
  <c r="C75" i="24"/>
  <c r="B75" i="24"/>
  <c r="F74" i="24"/>
  <c r="E74" i="24"/>
  <c r="C74" i="24"/>
  <c r="B74" i="24"/>
  <c r="F73" i="24"/>
  <c r="C73" i="24"/>
  <c r="B73" i="24"/>
  <c r="F72" i="24"/>
  <c r="C72" i="24"/>
  <c r="B72" i="24"/>
  <c r="F71" i="24"/>
  <c r="E71" i="24"/>
  <c r="C71" i="24"/>
  <c r="B71" i="24"/>
  <c r="C50" i="24"/>
  <c r="B50" i="24"/>
  <c r="L83" i="22"/>
  <c r="F83" i="22"/>
  <c r="E83" i="22"/>
  <c r="I83" i="22" s="1"/>
  <c r="D83" i="22"/>
  <c r="C83" i="22"/>
  <c r="B83" i="22"/>
  <c r="L82" i="22"/>
  <c r="F82" i="22"/>
  <c r="E82" i="22"/>
  <c r="I82" i="22" s="1"/>
  <c r="D82" i="22"/>
  <c r="C82" i="22"/>
  <c r="B82" i="22"/>
  <c r="L81" i="22"/>
  <c r="F81" i="22"/>
  <c r="E81" i="22"/>
  <c r="I81" i="22" s="1"/>
  <c r="D81" i="22"/>
  <c r="C81" i="22"/>
  <c r="B81" i="22"/>
  <c r="L80" i="22"/>
  <c r="I80" i="22"/>
  <c r="F80" i="22"/>
  <c r="E80" i="22"/>
  <c r="D80" i="22"/>
  <c r="C80" i="22"/>
  <c r="B80" i="22"/>
  <c r="L79" i="22"/>
  <c r="I79" i="22"/>
  <c r="F79" i="22"/>
  <c r="E79" i="22"/>
  <c r="D79" i="22"/>
  <c r="C79" i="22"/>
  <c r="B79" i="22"/>
  <c r="L78" i="22"/>
  <c r="F78" i="22"/>
  <c r="E78" i="22"/>
  <c r="I78" i="22" s="1"/>
  <c r="D78" i="22"/>
  <c r="C78" i="22"/>
  <c r="B78" i="22"/>
  <c r="L77" i="22"/>
  <c r="F77" i="22"/>
  <c r="E77" i="22"/>
  <c r="I77" i="22" s="1"/>
  <c r="D77" i="22"/>
  <c r="C77" i="22"/>
  <c r="B77" i="22"/>
  <c r="L76" i="22"/>
  <c r="F76" i="22"/>
  <c r="E76" i="22"/>
  <c r="I76" i="22" s="1"/>
  <c r="D76" i="22"/>
  <c r="C76" i="22"/>
  <c r="B76" i="22"/>
  <c r="L75" i="22"/>
  <c r="I75" i="22"/>
  <c r="F75" i="22"/>
  <c r="E75" i="22"/>
  <c r="D75" i="22"/>
  <c r="C75" i="22"/>
  <c r="B75" i="22"/>
  <c r="L74" i="22"/>
  <c r="F74" i="22"/>
  <c r="E74" i="22"/>
  <c r="I74" i="22" s="1"/>
  <c r="D74" i="22"/>
  <c r="C74" i="22"/>
  <c r="B74" i="22"/>
  <c r="L73" i="22"/>
  <c r="F73" i="22"/>
  <c r="E73" i="22"/>
  <c r="I73" i="22" s="1"/>
  <c r="D73" i="22"/>
  <c r="C73" i="22"/>
  <c r="B73" i="22"/>
  <c r="L72" i="22"/>
  <c r="F72" i="22"/>
  <c r="E72" i="22"/>
  <c r="I72" i="22" s="1"/>
  <c r="D72" i="22"/>
  <c r="C72" i="22"/>
  <c r="B72" i="22"/>
  <c r="L71" i="22"/>
  <c r="F71" i="22"/>
  <c r="E71" i="22"/>
  <c r="I71" i="22" s="1"/>
  <c r="D71" i="22"/>
  <c r="C71" i="22"/>
  <c r="B71" i="22"/>
  <c r="L70" i="22"/>
  <c r="F70" i="22"/>
  <c r="E70" i="22"/>
  <c r="I70" i="22" s="1"/>
  <c r="D70" i="22"/>
  <c r="C70" i="22"/>
  <c r="B70" i="22"/>
  <c r="L69" i="22"/>
  <c r="F69" i="22"/>
  <c r="E69" i="22"/>
  <c r="I69" i="22" s="1"/>
  <c r="D69" i="22"/>
  <c r="C69" i="22"/>
  <c r="B69" i="22"/>
  <c r="L68" i="22"/>
  <c r="I68" i="22"/>
  <c r="F68" i="22"/>
  <c r="E68" i="22"/>
  <c r="D68" i="22"/>
  <c r="C68" i="22"/>
  <c r="B68" i="22"/>
  <c r="L67" i="22"/>
  <c r="I67" i="22"/>
  <c r="F67" i="22"/>
  <c r="E67" i="22"/>
  <c r="D67" i="22"/>
  <c r="C67" i="22"/>
  <c r="B67" i="22"/>
  <c r="L66" i="22"/>
  <c r="F66" i="22"/>
  <c r="E66" i="22"/>
  <c r="I66" i="22" s="1"/>
  <c r="D66" i="22"/>
  <c r="C66" i="22"/>
  <c r="B66" i="22"/>
  <c r="L65" i="22"/>
  <c r="F65" i="22"/>
  <c r="E65" i="22"/>
  <c r="I65" i="22" s="1"/>
  <c r="D65" i="22"/>
  <c r="C65" i="22"/>
  <c r="B65" i="22"/>
  <c r="L64" i="22"/>
  <c r="F64" i="22"/>
  <c r="E64" i="22"/>
  <c r="I64" i="22" s="1"/>
  <c r="D64" i="22"/>
  <c r="C64" i="22"/>
  <c r="B64" i="22"/>
  <c r="L63" i="22"/>
  <c r="I63" i="22"/>
  <c r="F63" i="22"/>
  <c r="E63" i="22"/>
  <c r="D63" i="22"/>
  <c r="C63" i="22"/>
  <c r="B63" i="22"/>
  <c r="L62" i="22"/>
  <c r="F62" i="22"/>
  <c r="E62" i="22"/>
  <c r="I62" i="22" s="1"/>
  <c r="D62" i="22"/>
  <c r="C62" i="22"/>
  <c r="B62" i="22"/>
  <c r="L61" i="22"/>
  <c r="F61" i="22"/>
  <c r="E61" i="22"/>
  <c r="I61" i="22" s="1"/>
  <c r="D61" i="22"/>
  <c r="C61" i="22"/>
  <c r="B61" i="22"/>
  <c r="L60" i="22"/>
  <c r="F60" i="22"/>
  <c r="E60" i="22"/>
  <c r="I60" i="22" s="1"/>
  <c r="D60" i="22"/>
  <c r="C60" i="22"/>
  <c r="B60" i="22"/>
  <c r="L59" i="22"/>
  <c r="F59" i="22"/>
  <c r="E59" i="22"/>
  <c r="I59" i="22" s="1"/>
  <c r="D59" i="22"/>
  <c r="C59" i="22"/>
  <c r="B59" i="22"/>
  <c r="L58" i="22"/>
  <c r="F58" i="22"/>
  <c r="E58" i="22"/>
  <c r="I58" i="22" s="1"/>
  <c r="D58" i="22"/>
  <c r="C58" i="22"/>
  <c r="B58" i="22"/>
  <c r="L57" i="22"/>
  <c r="F57" i="22"/>
  <c r="E57" i="22"/>
  <c r="I57" i="22" s="1"/>
  <c r="D57" i="22"/>
  <c r="C57" i="22"/>
  <c r="B57" i="22"/>
  <c r="L56" i="22"/>
  <c r="I56" i="22"/>
  <c r="F56" i="22"/>
  <c r="E56" i="22"/>
  <c r="D56" i="22"/>
  <c r="C56" i="22"/>
  <c r="B56" i="22"/>
  <c r="L55" i="22"/>
  <c r="I55" i="22"/>
  <c r="F55" i="22"/>
  <c r="E55" i="22"/>
  <c r="D55" i="22"/>
  <c r="C55" i="22"/>
  <c r="B55" i="22"/>
  <c r="L54" i="22"/>
  <c r="F54" i="22"/>
  <c r="E54" i="22"/>
  <c r="I54" i="22" s="1"/>
  <c r="D54" i="22"/>
  <c r="C54" i="22"/>
  <c r="B54" i="22"/>
  <c r="F38" i="22"/>
  <c r="E38" i="22"/>
  <c r="D38" i="22"/>
  <c r="C38" i="22"/>
  <c r="B38" i="22"/>
  <c r="AF54" i="6"/>
  <c r="AE54" i="6"/>
  <c r="AD54" i="6"/>
  <c r="AC54" i="6"/>
  <c r="AB54" i="6"/>
  <c r="AA54" i="6"/>
  <c r="Z54" i="6"/>
  <c r="V54" i="6"/>
  <c r="U54" i="6"/>
  <c r="T54" i="6"/>
  <c r="S54" i="6"/>
  <c r="R54" i="6"/>
  <c r="Q54" i="6"/>
  <c r="P54" i="6"/>
  <c r="O54" i="6"/>
  <c r="N54" i="6"/>
  <c r="M54" i="6"/>
  <c r="F54" i="6"/>
  <c r="E54" i="6"/>
  <c r="D54" i="6"/>
  <c r="AF46" i="6"/>
  <c r="AE46" i="6"/>
  <c r="AD46" i="6"/>
  <c r="AC46" i="6"/>
  <c r="AB46" i="6"/>
  <c r="AA46" i="6"/>
  <c r="Z46" i="6"/>
  <c r="V46" i="6"/>
  <c r="U46" i="6"/>
  <c r="T46" i="6"/>
  <c r="S46" i="6"/>
  <c r="R46" i="6"/>
  <c r="Q46" i="6"/>
  <c r="P46" i="6"/>
  <c r="O46" i="6"/>
  <c r="N46" i="6"/>
  <c r="M46" i="6"/>
  <c r="F46" i="6"/>
  <c r="E46" i="6"/>
  <c r="D46" i="6"/>
  <c r="C46" i="6"/>
  <c r="AF44" i="6"/>
  <c r="AE44" i="6"/>
  <c r="AD44" i="6"/>
  <c r="AC44" i="6"/>
  <c r="AB44" i="6"/>
  <c r="AA44" i="6"/>
  <c r="Z44" i="6"/>
  <c r="V44" i="6"/>
  <c r="U44" i="6"/>
  <c r="T44" i="6"/>
  <c r="S44" i="6"/>
  <c r="R44" i="6"/>
  <c r="Q44" i="6"/>
  <c r="P44" i="6"/>
  <c r="O44" i="6"/>
  <c r="N44" i="6"/>
  <c r="M44" i="6"/>
  <c r="F44" i="6"/>
  <c r="E44" i="6"/>
  <c r="D44" i="6"/>
  <c r="C44" i="6"/>
  <c r="Z43" i="6"/>
  <c r="O43" i="6"/>
  <c r="Z18" i="26"/>
  <c r="AA18" i="26" s="1"/>
  <c r="E43" i="6"/>
  <c r="H18" i="26" s="1"/>
  <c r="I18" i="26" s="1"/>
  <c r="AF42" i="6"/>
  <c r="AF43" i="6" s="1"/>
  <c r="BJ18" i="26" s="1"/>
  <c r="BK18" i="26" s="1"/>
  <c r="AE42" i="6"/>
  <c r="AE43" i="6" s="1"/>
  <c r="BH18" i="26" s="1"/>
  <c r="AD42" i="6"/>
  <c r="AD43" i="6" s="1"/>
  <c r="BF18" i="26" s="1"/>
  <c r="BG18" i="26" s="1"/>
  <c r="AC42" i="6"/>
  <c r="AC43" i="6" s="1"/>
  <c r="BD18" i="26" s="1"/>
  <c r="AB42" i="6"/>
  <c r="AB43" i="6" s="1"/>
  <c r="BB18" i="26" s="1"/>
  <c r="AA42" i="6"/>
  <c r="AA43" i="6" s="1"/>
  <c r="AZ18" i="26" s="1"/>
  <c r="BA18" i="26" s="1"/>
  <c r="Z42" i="6"/>
  <c r="V42" i="6"/>
  <c r="V43" i="6" s="1"/>
  <c r="U42" i="6"/>
  <c r="U43" i="6" s="1"/>
  <c r="T42" i="6"/>
  <c r="T43" i="6" s="1"/>
  <c r="AL18" i="26" s="1"/>
  <c r="AM18" i="26" s="1"/>
  <c r="S42" i="6"/>
  <c r="S43" i="6" s="1"/>
  <c r="AJ18" i="26" s="1"/>
  <c r="AK18" i="26" s="1"/>
  <c r="R42" i="6"/>
  <c r="R43" i="6" s="1"/>
  <c r="AH18" i="26" s="1"/>
  <c r="AI18" i="26" s="1"/>
  <c r="Q42" i="6"/>
  <c r="Q43" i="6" s="1"/>
  <c r="AF18" i="26" s="1"/>
  <c r="P42" i="6"/>
  <c r="P43" i="6" s="1"/>
  <c r="AD18" i="26" s="1"/>
  <c r="O42" i="6"/>
  <c r="N42" i="6"/>
  <c r="M42" i="6"/>
  <c r="M43" i="6" s="1"/>
  <c r="X18" i="26" s="1"/>
  <c r="Y18" i="26" s="1"/>
  <c r="F42" i="6"/>
  <c r="F43" i="6" s="1"/>
  <c r="J18" i="26" s="1"/>
  <c r="K18" i="26" s="1"/>
  <c r="E42" i="6"/>
  <c r="D42" i="6"/>
  <c r="D43" i="6" s="1"/>
  <c r="F18" i="26" s="1"/>
  <c r="G18" i="26" s="1"/>
  <c r="C42" i="6"/>
  <c r="C43" i="6" s="1"/>
  <c r="D18" i="26" s="1"/>
  <c r="E18" i="26" s="1"/>
  <c r="AF28" i="6"/>
  <c r="AE28" i="6"/>
  <c r="AD28" i="6"/>
  <c r="AC28" i="6"/>
  <c r="AB28" i="6"/>
  <c r="AA28" i="6"/>
  <c r="Z28" i="6"/>
  <c r="V28" i="6"/>
  <c r="U28" i="6"/>
  <c r="T28" i="6"/>
  <c r="S28" i="6"/>
  <c r="R28" i="6"/>
  <c r="Q28" i="6"/>
  <c r="P28" i="6"/>
  <c r="O28" i="6"/>
  <c r="N28" i="6"/>
  <c r="M28" i="6"/>
  <c r="F28" i="6"/>
  <c r="E28" i="6"/>
  <c r="D28" i="6"/>
  <c r="C28" i="6"/>
  <c r="AF26" i="6"/>
  <c r="AF27" i="6" s="1"/>
  <c r="AE26" i="6"/>
  <c r="AD26" i="6"/>
  <c r="AD27" i="6" s="1"/>
  <c r="BF16" i="26" s="1"/>
  <c r="AC26" i="6"/>
  <c r="AB26" i="6"/>
  <c r="AA26" i="6"/>
  <c r="Z26" i="6"/>
  <c r="Z27" i="6" s="1"/>
  <c r="AX16" i="26" s="1"/>
  <c r="V26" i="6"/>
  <c r="U26" i="6"/>
  <c r="T26" i="6"/>
  <c r="S26" i="6"/>
  <c r="S27" i="6" s="1"/>
  <c r="R26" i="6"/>
  <c r="R27" i="6" s="1"/>
  <c r="Q26" i="6"/>
  <c r="Q27" i="6" s="1"/>
  <c r="P26" i="6"/>
  <c r="O26" i="6"/>
  <c r="O27" i="6" s="1"/>
  <c r="N26" i="6"/>
  <c r="N27" i="6" s="1"/>
  <c r="M26" i="6"/>
  <c r="M27" i="6" s="1"/>
  <c r="X16" i="26" s="1"/>
  <c r="Y16" i="26" s="1"/>
  <c r="F26" i="6"/>
  <c r="E26" i="6"/>
  <c r="D26" i="6"/>
  <c r="D27" i="6" s="1"/>
  <c r="F16" i="26" s="1"/>
  <c r="G16" i="26" s="1"/>
  <c r="C26" i="6"/>
  <c r="AF15" i="6"/>
  <c r="AE15" i="6"/>
  <c r="BH31" i="26" s="1"/>
  <c r="BI31" i="26" s="1"/>
  <c r="BI28" i="26" s="1"/>
  <c r="AB15" i="6"/>
  <c r="AZ31" i="26"/>
  <c r="BA31" i="26" s="1"/>
  <c r="BA28" i="26" s="1"/>
  <c r="V15" i="6"/>
  <c r="U15" i="6"/>
  <c r="S15" i="6"/>
  <c r="AJ31" i="26" s="1"/>
  <c r="AK31" i="26" s="1"/>
  <c r="AK28" i="26" s="1"/>
  <c r="P15" i="6"/>
  <c r="AD31" i="26" s="1"/>
  <c r="AE31" i="26" s="1"/>
  <c r="AE28" i="26" s="1"/>
  <c r="O15" i="6"/>
  <c r="AB31" i="26" s="1"/>
  <c r="AC31" i="26" s="1"/>
  <c r="AC28" i="26" s="1"/>
  <c r="N15" i="6"/>
  <c r="M15" i="6"/>
  <c r="F15" i="6"/>
  <c r="E15" i="6"/>
  <c r="H31" i="26" s="1"/>
  <c r="I31" i="26" s="1"/>
  <c r="I28" i="26" s="1"/>
  <c r="D15" i="6"/>
  <c r="C15" i="6"/>
  <c r="AF13" i="6"/>
  <c r="AE13" i="6"/>
  <c r="AD13" i="6"/>
  <c r="AC13" i="6"/>
  <c r="AB13" i="6"/>
  <c r="AA13" i="6"/>
  <c r="Z13" i="6"/>
  <c r="V13" i="6"/>
  <c r="P13" i="6"/>
  <c r="F13" i="6"/>
  <c r="D13" i="6"/>
  <c r="C13" i="6"/>
  <c r="AF11" i="6"/>
  <c r="AE11" i="6"/>
  <c r="AD11" i="6"/>
  <c r="AC11" i="6"/>
  <c r="AB11" i="6"/>
  <c r="AA11" i="6"/>
  <c r="Z11" i="6"/>
  <c r="V11" i="6"/>
  <c r="U11" i="6"/>
  <c r="T11" i="6"/>
  <c r="S11" i="6"/>
  <c r="R11" i="6"/>
  <c r="Q11" i="6"/>
  <c r="O11" i="6"/>
  <c r="N11" i="6"/>
  <c r="M11" i="6"/>
  <c r="F11" i="6"/>
  <c r="E11" i="6"/>
  <c r="C11" i="6"/>
  <c r="AJ32" i="7"/>
  <c r="AI32" i="7"/>
  <c r="AH32" i="7"/>
  <c r="AG32" i="7"/>
  <c r="AF32" i="7"/>
  <c r="AE32" i="7"/>
  <c r="AD32" i="7"/>
  <c r="AC32" i="7"/>
  <c r="AB32" i="7"/>
  <c r="AA32" i="7"/>
  <c r="Z32" i="7"/>
  <c r="Y32" i="7"/>
  <c r="X32" i="7"/>
  <c r="W32" i="7"/>
  <c r="V32" i="7"/>
  <c r="U32" i="7"/>
  <c r="T32" i="7"/>
  <c r="S32" i="7"/>
  <c r="R32" i="7"/>
  <c r="Q32" i="7"/>
  <c r="P32" i="7"/>
  <c r="N32" i="7"/>
  <c r="M32" i="7"/>
  <c r="L32" i="7"/>
  <c r="K32" i="7"/>
  <c r="J32" i="7"/>
  <c r="I32" i="7"/>
  <c r="H32" i="7"/>
  <c r="G32" i="7"/>
  <c r="F32" i="7"/>
  <c r="BJ16" i="13"/>
  <c r="BH16" i="13"/>
  <c r="BI16" i="13" s="1"/>
  <c r="BI12" i="13" s="1"/>
  <c r="BF16" i="13"/>
  <c r="BD16" i="13"/>
  <c r="BB16" i="13"/>
  <c r="BC16" i="13" s="1"/>
  <c r="BC12" i="13" s="1"/>
  <c r="BC17" i="13" s="1"/>
  <c r="BB8" i="26" s="1"/>
  <c r="BC8" i="26" s="1"/>
  <c r="AZ16" i="13"/>
  <c r="AV16" i="13"/>
  <c r="AW16" i="13" s="1"/>
  <c r="AT16" i="13"/>
  <c r="AU16" i="13" s="1"/>
  <c r="AU12" i="13" s="1"/>
  <c r="AU17" i="13" s="1"/>
  <c r="AT8" i="26" s="1"/>
  <c r="AU8" i="26" s="1"/>
  <c r="AR16" i="13"/>
  <c r="AS16" i="13" s="1"/>
  <c r="AS12" i="13" s="1"/>
  <c r="AS17" i="13" s="1"/>
  <c r="AR8" i="26" s="1"/>
  <c r="AP16" i="13"/>
  <c r="T16" i="13"/>
  <c r="U16" i="13" s="1"/>
  <c r="R16" i="13"/>
  <c r="S16" i="13" s="1"/>
  <c r="L16" i="13"/>
  <c r="M16" i="13" s="1"/>
  <c r="J16" i="13"/>
  <c r="K16" i="13" s="1"/>
  <c r="H16" i="13"/>
  <c r="I16" i="13" s="1"/>
  <c r="F16" i="13"/>
  <c r="G16" i="13" s="1"/>
  <c r="D16" i="13"/>
  <c r="E16" i="13" s="1"/>
  <c r="AJ11" i="7"/>
  <c r="AI11" i="7"/>
  <c r="AH11" i="7"/>
  <c r="AG11" i="7"/>
  <c r="AF11" i="7"/>
  <c r="AE11" i="7"/>
  <c r="AD11" i="7"/>
  <c r="AC11" i="7"/>
  <c r="AB11" i="7"/>
  <c r="AA11" i="7"/>
  <c r="Z11" i="7"/>
  <c r="Y11" i="7"/>
  <c r="X11" i="7"/>
  <c r="W11" i="7"/>
  <c r="V11" i="7"/>
  <c r="U11" i="7"/>
  <c r="T11" i="7"/>
  <c r="S11" i="7"/>
  <c r="R11" i="7"/>
  <c r="Q11" i="7"/>
  <c r="H11" i="7"/>
  <c r="G11" i="7"/>
  <c r="F11" i="7"/>
  <c r="H92" i="8"/>
  <c r="E92" i="8"/>
  <c r="D92" i="8"/>
  <c r="C92" i="8"/>
  <c r="H91" i="8"/>
  <c r="E91" i="8"/>
  <c r="D91" i="8"/>
  <c r="C91" i="8"/>
  <c r="H90" i="8"/>
  <c r="E90" i="8"/>
  <c r="D90" i="8"/>
  <c r="C90" i="8"/>
  <c r="H89" i="8"/>
  <c r="E89" i="8"/>
  <c r="D89" i="8"/>
  <c r="C89" i="8"/>
  <c r="H88" i="8"/>
  <c r="E88" i="8"/>
  <c r="D88" i="8"/>
  <c r="C88" i="8"/>
  <c r="H87" i="8"/>
  <c r="E87" i="8"/>
  <c r="D87" i="8"/>
  <c r="C87" i="8"/>
  <c r="H86" i="8"/>
  <c r="E86" i="8"/>
  <c r="D86" i="8"/>
  <c r="C86" i="8"/>
  <c r="H85" i="8"/>
  <c r="E85" i="8"/>
  <c r="D85" i="8"/>
  <c r="C85" i="8"/>
  <c r="H84" i="8"/>
  <c r="E84" i="8"/>
  <c r="D84" i="8"/>
  <c r="C84" i="8"/>
  <c r="H83" i="8"/>
  <c r="E83" i="8"/>
  <c r="D83" i="8"/>
  <c r="C83" i="8"/>
  <c r="H82" i="8"/>
  <c r="E82" i="8"/>
  <c r="D82" i="8"/>
  <c r="C82" i="8"/>
  <c r="H81" i="8"/>
  <c r="E81" i="8"/>
  <c r="D81" i="8"/>
  <c r="C81" i="8"/>
  <c r="H80" i="8"/>
  <c r="E80" i="8"/>
  <c r="D80" i="8"/>
  <c r="C80" i="8"/>
  <c r="H79" i="8"/>
  <c r="E79" i="8"/>
  <c r="D79" i="8"/>
  <c r="C79" i="8"/>
  <c r="H78" i="8"/>
  <c r="E78" i="8"/>
  <c r="D78" i="8"/>
  <c r="C78" i="8"/>
  <c r="H77" i="8"/>
  <c r="E77" i="8"/>
  <c r="D77" i="8"/>
  <c r="C77" i="8"/>
  <c r="H76" i="8"/>
  <c r="E76" i="8"/>
  <c r="D76" i="8"/>
  <c r="C76" i="8"/>
  <c r="H75" i="8"/>
  <c r="E75" i="8"/>
  <c r="D75" i="8"/>
  <c r="C75" i="8"/>
  <c r="H74" i="8"/>
  <c r="E74" i="8"/>
  <c r="D74" i="8"/>
  <c r="C74" i="8"/>
  <c r="H73" i="8"/>
  <c r="E73" i="8"/>
  <c r="D73" i="8"/>
  <c r="C73" i="8"/>
  <c r="H72" i="8"/>
  <c r="E72" i="8"/>
  <c r="D72" i="8"/>
  <c r="C72" i="8"/>
  <c r="H71" i="8"/>
  <c r="E71" i="8"/>
  <c r="D71" i="8"/>
  <c r="C71" i="8"/>
  <c r="H70" i="8"/>
  <c r="E70" i="8"/>
  <c r="D70" i="8"/>
  <c r="C70" i="8"/>
  <c r="H69" i="8"/>
  <c r="E69" i="8"/>
  <c r="D69" i="8"/>
  <c r="C69" i="8"/>
  <c r="H68" i="8"/>
  <c r="E68" i="8"/>
  <c r="D68" i="8"/>
  <c r="C68" i="8"/>
  <c r="H67" i="8"/>
  <c r="E67" i="8"/>
  <c r="D67" i="8"/>
  <c r="C67" i="8"/>
  <c r="H66" i="8"/>
  <c r="E66" i="8"/>
  <c r="D66" i="8"/>
  <c r="C66" i="8"/>
  <c r="H65" i="8"/>
  <c r="E65" i="8"/>
  <c r="D65" i="8"/>
  <c r="C65" i="8"/>
  <c r="H64" i="8"/>
  <c r="E64" i="8"/>
  <c r="D64" i="8"/>
  <c r="C64" i="8"/>
  <c r="H63" i="8"/>
  <c r="E63" i="8"/>
  <c r="D63" i="8"/>
  <c r="C63" i="8"/>
  <c r="F98"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50" i="11"/>
  <c r="BK16" i="13"/>
  <c r="BG16" i="13"/>
  <c r="BE16" i="13"/>
  <c r="BE12" i="13" s="1"/>
  <c r="BE17" i="13" s="1"/>
  <c r="BD8" i="26" s="1"/>
  <c r="BE8" i="26" s="1"/>
  <c r="P16" i="13"/>
  <c r="Q16" i="13" s="1"/>
  <c r="N16" i="13"/>
  <c r="O16" i="13" s="1"/>
  <c r="BK15" i="13"/>
  <c r="BI15" i="13"/>
  <c r="BG15" i="13"/>
  <c r="BE15" i="13"/>
  <c r="BC15" i="13"/>
  <c r="BA15" i="13"/>
  <c r="AY15" i="13"/>
  <c r="AW15" i="13"/>
  <c r="AU15" i="13"/>
  <c r="AS15" i="13"/>
  <c r="AQ15" i="13"/>
  <c r="AO15" i="13"/>
  <c r="AM15" i="13"/>
  <c r="AK15" i="13"/>
  <c r="AI15" i="13"/>
  <c r="AG15" i="13"/>
  <c r="AE15" i="13"/>
  <c r="AC15" i="13"/>
  <c r="AA15" i="13"/>
  <c r="Y15" i="13"/>
  <c r="W15" i="13"/>
  <c r="U15" i="13"/>
  <c r="T15" i="13"/>
  <c r="S15" i="13"/>
  <c r="R15" i="13"/>
  <c r="P15" i="13"/>
  <c r="Q15" i="13" s="1"/>
  <c r="N15" i="13"/>
  <c r="O15" i="13" s="1"/>
  <c r="M15" i="13"/>
  <c r="L15" i="13"/>
  <c r="K15" i="13"/>
  <c r="J15" i="13"/>
  <c r="H15" i="13"/>
  <c r="I15" i="13" s="1"/>
  <c r="G15" i="13"/>
  <c r="F15" i="13"/>
  <c r="E15" i="13"/>
  <c r="D15" i="13"/>
  <c r="BK14" i="13"/>
  <c r="BJ14" i="13"/>
  <c r="BI14" i="13"/>
  <c r="BH14" i="13"/>
  <c r="BG14" i="13"/>
  <c r="BF14" i="13"/>
  <c r="BE14" i="13"/>
  <c r="BD14" i="13"/>
  <c r="BC14" i="13"/>
  <c r="BB14" i="13"/>
  <c r="BA14" i="13"/>
  <c r="AZ14" i="13"/>
  <c r="AX14" i="13"/>
  <c r="AY14" i="13" s="1"/>
  <c r="AW14" i="13"/>
  <c r="AV14" i="13"/>
  <c r="AU14" i="13"/>
  <c r="AT14" i="13"/>
  <c r="AS14" i="13"/>
  <c r="AR14" i="13"/>
  <c r="AQ14" i="13"/>
  <c r="AP14" i="13"/>
  <c r="AO14" i="13"/>
  <c r="AN14" i="13"/>
  <c r="AL14" i="13"/>
  <c r="AM14" i="13" s="1"/>
  <c r="AJ14" i="13"/>
  <c r="AK14" i="13" s="1"/>
  <c r="AH14" i="13"/>
  <c r="AI14" i="13" s="1"/>
  <c r="AG14" i="13"/>
  <c r="AF14" i="13"/>
  <c r="AD14" i="13"/>
  <c r="AE14" i="13" s="1"/>
  <c r="AC14" i="13"/>
  <c r="AB14" i="13"/>
  <c r="Z14" i="13"/>
  <c r="AA14" i="13" s="1"/>
  <c r="Y14" i="13"/>
  <c r="X14" i="13"/>
  <c r="V14" i="13"/>
  <c r="W14" i="13" s="1"/>
  <c r="T14" i="13"/>
  <c r="U14" i="13" s="1"/>
  <c r="R14" i="13"/>
  <c r="S14" i="13" s="1"/>
  <c r="P14" i="13"/>
  <c r="Q14" i="13" s="1"/>
  <c r="N14" i="13"/>
  <c r="O14" i="13" s="1"/>
  <c r="L14" i="13"/>
  <c r="M14" i="13" s="1"/>
  <c r="J14" i="13"/>
  <c r="K14" i="13" s="1"/>
  <c r="H14" i="13"/>
  <c r="I14" i="13" s="1"/>
  <c r="F14" i="13"/>
  <c r="G14" i="13" s="1"/>
  <c r="D14" i="13"/>
  <c r="E14" i="13" s="1"/>
  <c r="BK13" i="13"/>
  <c r="BJ13" i="13"/>
  <c r="BI13" i="13"/>
  <c r="BH13" i="13"/>
  <c r="BG13" i="13"/>
  <c r="BF13" i="13"/>
  <c r="BE13" i="13"/>
  <c r="BD13" i="13"/>
  <c r="BC13" i="13"/>
  <c r="BB13" i="13"/>
  <c r="BA13" i="13"/>
  <c r="AZ13" i="13"/>
  <c r="AY13" i="13"/>
  <c r="AX13" i="13"/>
  <c r="AW13" i="13"/>
  <c r="AV13" i="13"/>
  <c r="AU13" i="13"/>
  <c r="AT13" i="13"/>
  <c r="AS13" i="13"/>
  <c r="AR13" i="13"/>
  <c r="AQ13" i="13"/>
  <c r="AP13" i="13"/>
  <c r="AN13" i="13"/>
  <c r="AO13" i="13" s="1"/>
  <c r="AL13" i="13"/>
  <c r="AM13" i="13" s="1"/>
  <c r="AK13" i="13"/>
  <c r="AJ13" i="13"/>
  <c r="AH13" i="13"/>
  <c r="AI13" i="13" s="1"/>
  <c r="AF13" i="13"/>
  <c r="AG13" i="13" s="1"/>
  <c r="AD13" i="13"/>
  <c r="AE13" i="13" s="1"/>
  <c r="AB13" i="13"/>
  <c r="AC13" i="13" s="1"/>
  <c r="Z13" i="13"/>
  <c r="AA13" i="13" s="1"/>
  <c r="X13" i="13"/>
  <c r="Y13" i="13" s="1"/>
  <c r="V13" i="13"/>
  <c r="W13" i="13" s="1"/>
  <c r="T13" i="13"/>
  <c r="U13" i="13" s="1"/>
  <c r="R13" i="13"/>
  <c r="S13" i="13" s="1"/>
  <c r="Q13" i="13"/>
  <c r="P13" i="13"/>
  <c r="N13" i="13"/>
  <c r="O13" i="13" s="1"/>
  <c r="L13" i="13"/>
  <c r="M13" i="13" s="1"/>
  <c r="J13" i="13"/>
  <c r="K13" i="13" s="1"/>
  <c r="I13" i="13"/>
  <c r="H13" i="13"/>
  <c r="F13" i="13"/>
  <c r="G13" i="13" s="1"/>
  <c r="D13" i="13"/>
  <c r="E13" i="13" s="1"/>
  <c r="BK12" i="13"/>
  <c r="BG12" i="13"/>
  <c r="BG17" i="13" s="1"/>
  <c r="BG8" i="26" s="1"/>
  <c r="BJ11" i="13"/>
  <c r="BK11" i="13" s="1"/>
  <c r="BK7" i="13" s="1"/>
  <c r="BH11" i="13"/>
  <c r="BI11" i="13" s="1"/>
  <c r="BI7" i="13" s="1"/>
  <c r="BG11" i="13"/>
  <c r="BF11" i="13"/>
  <c r="BE11" i="13"/>
  <c r="BD11" i="13"/>
  <c r="BC11" i="13"/>
  <c r="BB11" i="13"/>
  <c r="BA11" i="13"/>
  <c r="AZ11" i="13"/>
  <c r="AX11" i="13"/>
  <c r="AY11" i="13" s="1"/>
  <c r="AW11" i="13"/>
  <c r="AV11" i="13"/>
  <c r="AU11" i="13"/>
  <c r="AT11" i="13"/>
  <c r="AS11" i="13"/>
  <c r="AR11" i="13"/>
  <c r="AQ11" i="13"/>
  <c r="AP11" i="13"/>
  <c r="AO11" i="13"/>
  <c r="AN11" i="13"/>
  <c r="AL11" i="13"/>
  <c r="AM11" i="13" s="1"/>
  <c r="AJ11" i="13"/>
  <c r="AK11" i="13" s="1"/>
  <c r="AH11" i="13"/>
  <c r="AI11" i="13" s="1"/>
  <c r="AF11" i="13"/>
  <c r="AG11" i="13" s="1"/>
  <c r="AE11" i="13"/>
  <c r="AD11" i="13"/>
  <c r="AB11" i="13"/>
  <c r="AC11" i="13" s="1"/>
  <c r="Z11" i="13"/>
  <c r="AA11" i="13" s="1"/>
  <c r="X11" i="13"/>
  <c r="Y11" i="13" s="1"/>
  <c r="V11" i="13"/>
  <c r="W11" i="13" s="1"/>
  <c r="T11" i="13"/>
  <c r="U11" i="13" s="1"/>
  <c r="R11" i="13"/>
  <c r="S11" i="13" s="1"/>
  <c r="P11" i="13"/>
  <c r="Q11" i="13" s="1"/>
  <c r="N11" i="13"/>
  <c r="O11" i="13" s="1"/>
  <c r="L11" i="13"/>
  <c r="M11" i="13" s="1"/>
  <c r="J11" i="13"/>
  <c r="K11" i="13" s="1"/>
  <c r="H11" i="13"/>
  <c r="I11" i="13" s="1"/>
  <c r="F11" i="13"/>
  <c r="G11" i="13" s="1"/>
  <c r="D11" i="13"/>
  <c r="E11" i="13" s="1"/>
  <c r="BK10" i="13"/>
  <c r="BJ10" i="13"/>
  <c r="BI10" i="13"/>
  <c r="BH10" i="13"/>
  <c r="BG10" i="13"/>
  <c r="BF10" i="13"/>
  <c r="BE10" i="13"/>
  <c r="BD10" i="13"/>
  <c r="BC10" i="13"/>
  <c r="BB10" i="13"/>
  <c r="BA10" i="13"/>
  <c r="AZ10" i="13"/>
  <c r="AX10" i="13"/>
  <c r="AY10" i="13" s="1"/>
  <c r="AW10" i="13"/>
  <c r="AV10" i="13"/>
  <c r="AU10" i="13"/>
  <c r="AT10" i="13"/>
  <c r="AS10" i="13"/>
  <c r="AR10" i="13"/>
  <c r="AQ10" i="13"/>
  <c r="AP10" i="13"/>
  <c r="AN10" i="13"/>
  <c r="AO10" i="13" s="1"/>
  <c r="AL10" i="13"/>
  <c r="AM10" i="13" s="1"/>
  <c r="AK10" i="13"/>
  <c r="AJ10" i="13"/>
  <c r="AI10" i="13"/>
  <c r="AH10" i="13"/>
  <c r="AG10" i="13"/>
  <c r="AF10" i="13"/>
  <c r="AD10" i="13"/>
  <c r="AE10" i="13" s="1"/>
  <c r="AB10" i="13"/>
  <c r="AC10" i="13" s="1"/>
  <c r="AA10" i="13"/>
  <c r="Z10" i="13"/>
  <c r="Y10" i="13"/>
  <c r="X10" i="13"/>
  <c r="V10" i="13"/>
  <c r="W10" i="13" s="1"/>
  <c r="T10" i="13"/>
  <c r="U10" i="13" s="1"/>
  <c r="R10" i="13"/>
  <c r="S10" i="13" s="1"/>
  <c r="P10" i="13"/>
  <c r="Q10" i="13" s="1"/>
  <c r="N10" i="13"/>
  <c r="O10" i="13" s="1"/>
  <c r="L10" i="13"/>
  <c r="M10" i="13" s="1"/>
  <c r="J10" i="13"/>
  <c r="K10" i="13" s="1"/>
  <c r="H10" i="13"/>
  <c r="I10" i="13" s="1"/>
  <c r="F10" i="13"/>
  <c r="G10" i="13" s="1"/>
  <c r="E10" i="13"/>
  <c r="D10" i="13"/>
  <c r="BK9" i="13"/>
  <c r="BJ9" i="13"/>
  <c r="BI9" i="13"/>
  <c r="BH9" i="13"/>
  <c r="BG9" i="13"/>
  <c r="BF9" i="13"/>
  <c r="BE9" i="13"/>
  <c r="BD9" i="13"/>
  <c r="BC9" i="13"/>
  <c r="BB9" i="13"/>
  <c r="BA9" i="13"/>
  <c r="AZ9" i="13"/>
  <c r="AY9" i="13"/>
  <c r="AX9" i="13"/>
  <c r="AV9" i="13"/>
  <c r="AW9" i="13" s="1"/>
  <c r="AW7" i="13" s="1"/>
  <c r="AU9" i="13"/>
  <c r="AT9" i="13"/>
  <c r="AS9" i="13"/>
  <c r="AR9" i="13"/>
  <c r="AQ9" i="13"/>
  <c r="AP9" i="13"/>
  <c r="AO9" i="13"/>
  <c r="AN9" i="13"/>
  <c r="AM9" i="13"/>
  <c r="AL9" i="13"/>
  <c r="AJ9" i="13"/>
  <c r="AK9" i="13" s="1"/>
  <c r="AI9" i="13"/>
  <c r="AH9" i="13"/>
  <c r="AF9" i="13"/>
  <c r="AG9" i="13" s="1"/>
  <c r="AD9" i="13"/>
  <c r="AE9" i="13" s="1"/>
  <c r="AC9" i="13"/>
  <c r="AB9" i="13"/>
  <c r="AA9" i="13"/>
  <c r="Z9" i="13"/>
  <c r="Y9" i="13"/>
  <c r="X9" i="13"/>
  <c r="V9" i="13"/>
  <c r="W9" i="13" s="1"/>
  <c r="T9" i="13"/>
  <c r="U9" i="13" s="1"/>
  <c r="R9" i="13"/>
  <c r="S9" i="13" s="1"/>
  <c r="P9" i="13"/>
  <c r="Q9" i="13" s="1"/>
  <c r="N9" i="13"/>
  <c r="O9" i="13" s="1"/>
  <c r="L9" i="13"/>
  <c r="M9" i="13" s="1"/>
  <c r="J9" i="13"/>
  <c r="K9" i="13" s="1"/>
  <c r="H9" i="13"/>
  <c r="I9" i="13" s="1"/>
  <c r="G9" i="13"/>
  <c r="F9" i="13"/>
  <c r="E9" i="13"/>
  <c r="BK8" i="13"/>
  <c r="BI8" i="13"/>
  <c r="BG8" i="13"/>
  <c r="BE8" i="13"/>
  <c r="BC8" i="13"/>
  <c r="BA8" i="13"/>
  <c r="AY8" i="13"/>
  <c r="AW8" i="13"/>
  <c r="AU8" i="13"/>
  <c r="AS8" i="13"/>
  <c r="AQ8" i="13"/>
  <c r="AO8" i="13"/>
  <c r="AM8" i="13"/>
  <c r="AK8" i="13"/>
  <c r="AI8" i="13"/>
  <c r="AG8" i="13"/>
  <c r="AE8" i="13"/>
  <c r="AC8" i="13"/>
  <c r="AA8" i="13"/>
  <c r="Y8" i="13"/>
  <c r="W8" i="13"/>
  <c r="U8" i="13"/>
  <c r="S8" i="13"/>
  <c r="Q8" i="13"/>
  <c r="O8" i="13"/>
  <c r="M8" i="13"/>
  <c r="K8" i="13"/>
  <c r="I8" i="13"/>
  <c r="G8" i="13"/>
  <c r="E8" i="13"/>
  <c r="BG7" i="13"/>
  <c r="BE7" i="13"/>
  <c r="BC7" i="13"/>
  <c r="BA7" i="13"/>
  <c r="AU7" i="13"/>
  <c r="AS7" i="13"/>
  <c r="AQ7" i="13"/>
  <c r="F100" i="5"/>
  <c r="H99" i="5"/>
  <c r="J99" i="5" s="1"/>
  <c r="BJ48" i="26" s="1"/>
  <c r="BK48" i="26" s="1"/>
  <c r="G99" i="5"/>
  <c r="F99" i="5"/>
  <c r="G98" i="5"/>
  <c r="H98" i="5" s="1"/>
  <c r="J98" i="5" s="1"/>
  <c r="BH48" i="26" s="1"/>
  <c r="BI48" i="26" s="1"/>
  <c r="F98" i="5"/>
  <c r="G97" i="5"/>
  <c r="G100" i="5" s="1"/>
  <c r="H100" i="5" s="1"/>
  <c r="F97" i="5"/>
  <c r="H96" i="5"/>
  <c r="J96" i="5" s="1"/>
  <c r="BD48" i="26" s="1"/>
  <c r="BE48" i="26" s="1"/>
  <c r="G96" i="5"/>
  <c r="F96" i="5"/>
  <c r="G95" i="5"/>
  <c r="H95" i="5" s="1"/>
  <c r="J95" i="5" s="1"/>
  <c r="BB48" i="26" s="1"/>
  <c r="BC48" i="26" s="1"/>
  <c r="F95" i="5"/>
  <c r="G94" i="5"/>
  <c r="H94" i="5" s="1"/>
  <c r="J94" i="5" s="1"/>
  <c r="AZ48" i="26" s="1"/>
  <c r="BA48" i="26" s="1"/>
  <c r="F94" i="5"/>
  <c r="H93" i="5"/>
  <c r="J93" i="5" s="1"/>
  <c r="AX48" i="26" s="1"/>
  <c r="AY48" i="26" s="1"/>
  <c r="G93" i="5"/>
  <c r="F93" i="5"/>
  <c r="H92" i="5"/>
  <c r="G92" i="5"/>
  <c r="F92" i="5"/>
  <c r="G91" i="5"/>
  <c r="H91" i="5" s="1"/>
  <c r="J91" i="5" s="1"/>
  <c r="AT48" i="26" s="1"/>
  <c r="AU48" i="26" s="1"/>
  <c r="F91" i="5"/>
  <c r="G90" i="5"/>
  <c r="H90" i="5" s="1"/>
  <c r="J90" i="5" s="1"/>
  <c r="AR48" i="26" s="1"/>
  <c r="AS48" i="26" s="1"/>
  <c r="F90" i="5"/>
  <c r="G89" i="5"/>
  <c r="H89" i="5" s="1"/>
  <c r="F89" i="5"/>
  <c r="G88" i="5"/>
  <c r="H88" i="5" s="1"/>
  <c r="J88" i="5" s="1"/>
  <c r="AN48" i="26" s="1"/>
  <c r="AO48" i="26" s="1"/>
  <c r="F88" i="5"/>
  <c r="H87" i="5"/>
  <c r="J87" i="5" s="1"/>
  <c r="AL48" i="26" s="1"/>
  <c r="AM48" i="26" s="1"/>
  <c r="G87" i="5"/>
  <c r="F87" i="5"/>
  <c r="G86" i="5"/>
  <c r="H86" i="5" s="1"/>
  <c r="J86" i="5" s="1"/>
  <c r="AJ48" i="26" s="1"/>
  <c r="AK48" i="26" s="1"/>
  <c r="F86" i="5"/>
  <c r="G85" i="5"/>
  <c r="H85" i="5" s="1"/>
  <c r="J85" i="5" s="1"/>
  <c r="AH48" i="26" s="1"/>
  <c r="AI48" i="26" s="1"/>
  <c r="F85" i="5"/>
  <c r="H84" i="5"/>
  <c r="J84" i="5" s="1"/>
  <c r="AF48" i="26" s="1"/>
  <c r="AG48" i="26" s="1"/>
  <c r="G84" i="5"/>
  <c r="F84" i="5"/>
  <c r="G83" i="5"/>
  <c r="H83" i="5" s="1"/>
  <c r="J83" i="5" s="1"/>
  <c r="AD48" i="26" s="1"/>
  <c r="AE48" i="26" s="1"/>
  <c r="F83" i="5"/>
  <c r="G82" i="5"/>
  <c r="H82" i="5" s="1"/>
  <c r="J82" i="5" s="1"/>
  <c r="AB48" i="26" s="1"/>
  <c r="AC48" i="26" s="1"/>
  <c r="F82" i="5"/>
  <c r="H81" i="5"/>
  <c r="J81" i="5" s="1"/>
  <c r="Z48" i="26" s="1"/>
  <c r="AA48" i="26" s="1"/>
  <c r="G81" i="5"/>
  <c r="F81" i="5"/>
  <c r="G80" i="5"/>
  <c r="H80" i="5" s="1"/>
  <c r="J80" i="5" s="1"/>
  <c r="X48" i="26" s="1"/>
  <c r="Y48" i="26" s="1"/>
  <c r="F80" i="5"/>
  <c r="G79" i="5"/>
  <c r="H79" i="5" s="1"/>
  <c r="J79" i="5" s="1"/>
  <c r="V48" i="26" s="1"/>
  <c r="W48" i="26" s="1"/>
  <c r="F79" i="5"/>
  <c r="H78" i="5"/>
  <c r="J78" i="5" s="1"/>
  <c r="T48" i="26" s="1"/>
  <c r="U48" i="26" s="1"/>
  <c r="G78" i="5"/>
  <c r="F78" i="5"/>
  <c r="G77" i="5"/>
  <c r="H77" i="5" s="1"/>
  <c r="J77" i="5" s="1"/>
  <c r="R48" i="26" s="1"/>
  <c r="S48" i="26" s="1"/>
  <c r="F77" i="5"/>
  <c r="J76" i="5"/>
  <c r="H76" i="5"/>
  <c r="G76" i="5"/>
  <c r="F76" i="5"/>
  <c r="H75" i="5"/>
  <c r="J75" i="5" s="1"/>
  <c r="N48" i="26" s="1"/>
  <c r="O48" i="26" s="1"/>
  <c r="G75" i="5"/>
  <c r="F75" i="5"/>
  <c r="G74" i="5"/>
  <c r="H74" i="5" s="1"/>
  <c r="J74" i="5" s="1"/>
  <c r="L48" i="26" s="1"/>
  <c r="M48" i="26" s="1"/>
  <c r="F74" i="5"/>
  <c r="H73" i="5"/>
  <c r="G73" i="5"/>
  <c r="F73" i="5"/>
  <c r="G72" i="5"/>
  <c r="H72" i="5" s="1"/>
  <c r="J72" i="5" s="1"/>
  <c r="H48" i="26" s="1"/>
  <c r="I48" i="26" s="1"/>
  <c r="F72" i="5"/>
  <c r="G71" i="5"/>
  <c r="H71" i="5" s="1"/>
  <c r="J71" i="5" s="1"/>
  <c r="F48" i="26" s="1"/>
  <c r="G48" i="26" s="1"/>
  <c r="F71" i="5"/>
  <c r="H70" i="5"/>
  <c r="J70" i="5" s="1"/>
  <c r="D48" i="26" s="1"/>
  <c r="E48" i="26" s="1"/>
  <c r="G70" i="5"/>
  <c r="F70" i="5"/>
  <c r="J49" i="5"/>
  <c r="F49" i="5"/>
  <c r="E49" i="5"/>
  <c r="J48" i="5"/>
  <c r="J47" i="5"/>
  <c r="J46" i="5"/>
  <c r="J45" i="5"/>
  <c r="J44" i="5"/>
  <c r="J43" i="5"/>
  <c r="J42" i="5"/>
  <c r="J41" i="5"/>
  <c r="J40" i="5"/>
  <c r="B50" i="4"/>
  <c r="G88" i="10"/>
  <c r="F88" i="10"/>
  <c r="E88" i="10"/>
  <c r="D88" i="10"/>
  <c r="H87" i="10"/>
  <c r="G87" i="10"/>
  <c r="F87" i="10"/>
  <c r="E87" i="10"/>
  <c r="D87" i="10"/>
  <c r="G86" i="10"/>
  <c r="F86" i="10"/>
  <c r="E86" i="10"/>
  <c r="D86" i="10"/>
  <c r="G85" i="10"/>
  <c r="F85" i="10"/>
  <c r="E85" i="10"/>
  <c r="D85" i="10"/>
  <c r="G84" i="10"/>
  <c r="F84" i="10"/>
  <c r="E84" i="10"/>
  <c r="D84" i="10"/>
  <c r="H83" i="10"/>
  <c r="G83" i="10"/>
  <c r="F83" i="10"/>
  <c r="E83" i="10"/>
  <c r="D83" i="10"/>
  <c r="H82" i="10"/>
  <c r="G82" i="10"/>
  <c r="F82" i="10"/>
  <c r="E82" i="10"/>
  <c r="D82" i="10"/>
  <c r="F81" i="10"/>
  <c r="E81" i="10"/>
  <c r="D81" i="10"/>
  <c r="F80" i="10"/>
  <c r="E80" i="10"/>
  <c r="D80" i="10"/>
  <c r="F79" i="10"/>
  <c r="E79" i="10"/>
  <c r="D79" i="10"/>
  <c r="G78" i="10"/>
  <c r="F78" i="10"/>
  <c r="E78" i="10"/>
  <c r="D78" i="10"/>
  <c r="H77" i="10"/>
  <c r="G77" i="10"/>
  <c r="F77" i="10"/>
  <c r="E77" i="10"/>
  <c r="D77" i="10"/>
  <c r="H76" i="10"/>
  <c r="G76" i="10"/>
  <c r="F76" i="10"/>
  <c r="E76" i="10"/>
  <c r="D76" i="10"/>
  <c r="G75" i="10"/>
  <c r="F75" i="10"/>
  <c r="E75" i="10"/>
  <c r="D75" i="10"/>
  <c r="G74" i="10"/>
  <c r="F74" i="10"/>
  <c r="E74" i="10"/>
  <c r="D74" i="10"/>
  <c r="H73" i="10"/>
  <c r="G73" i="10"/>
  <c r="F73" i="10"/>
  <c r="E73" i="10"/>
  <c r="D73" i="10"/>
  <c r="G72" i="10"/>
  <c r="F72" i="10"/>
  <c r="E72" i="10"/>
  <c r="D72" i="10"/>
  <c r="H71" i="10"/>
  <c r="G71" i="10"/>
  <c r="F71" i="10"/>
  <c r="E71" i="10"/>
  <c r="D71" i="10"/>
  <c r="G70" i="10"/>
  <c r="F70" i="10"/>
  <c r="E70" i="10"/>
  <c r="D70" i="10"/>
  <c r="G69" i="10"/>
  <c r="F69" i="10"/>
  <c r="E69" i="10"/>
  <c r="D69" i="10"/>
  <c r="F68" i="10"/>
  <c r="E68" i="10"/>
  <c r="D68" i="10"/>
  <c r="F67" i="10"/>
  <c r="E67" i="10"/>
  <c r="D67" i="10"/>
  <c r="F66" i="10"/>
  <c r="E66" i="10"/>
  <c r="D66" i="10"/>
  <c r="F65" i="10"/>
  <c r="E65" i="10"/>
  <c r="D65" i="10"/>
  <c r="F64" i="10"/>
  <c r="E64" i="10"/>
  <c r="D64" i="10"/>
  <c r="F63" i="10"/>
  <c r="E63" i="10"/>
  <c r="D63" i="10"/>
  <c r="G62" i="10"/>
  <c r="F62" i="10"/>
  <c r="E62" i="10"/>
  <c r="D62" i="10"/>
  <c r="H61" i="10"/>
  <c r="G61" i="10"/>
  <c r="F61" i="10"/>
  <c r="E61" i="10"/>
  <c r="D61" i="10"/>
  <c r="H60" i="10"/>
  <c r="G60" i="10"/>
  <c r="F60" i="10"/>
  <c r="E60" i="10"/>
  <c r="D60" i="10"/>
  <c r="G59" i="10"/>
  <c r="F59" i="10"/>
  <c r="E59" i="10"/>
  <c r="D59" i="10"/>
  <c r="C20" i="18"/>
  <c r="E141" i="3"/>
  <c r="D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T101" i="3"/>
  <c r="R101" i="3"/>
  <c r="X101" i="3" s="1"/>
  <c r="Q101" i="3"/>
  <c r="W101" i="3" s="1"/>
  <c r="I101" i="3"/>
  <c r="H101" i="3"/>
  <c r="F101" i="3"/>
  <c r="C101" i="3"/>
  <c r="AA100" i="3"/>
  <c r="X100" i="3"/>
  <c r="W100" i="3"/>
  <c r="M100" i="3"/>
  <c r="O100" i="3" s="1"/>
  <c r="AA99" i="3"/>
  <c r="X99" i="3"/>
  <c r="W99" i="3"/>
  <c r="M99" i="3"/>
  <c r="O99" i="3" s="1"/>
  <c r="AA98" i="3"/>
  <c r="X98" i="3"/>
  <c r="W98" i="3"/>
  <c r="M98" i="3"/>
  <c r="O98" i="3" s="1"/>
  <c r="AA97" i="3"/>
  <c r="X97" i="3"/>
  <c r="W97" i="3"/>
  <c r="M97" i="3"/>
  <c r="O97" i="3" s="1"/>
  <c r="AA96" i="3"/>
  <c r="X96" i="3"/>
  <c r="Y96" i="3" s="1"/>
  <c r="W96" i="3"/>
  <c r="M96" i="3"/>
  <c r="O96" i="3" s="1"/>
  <c r="AA95" i="3"/>
  <c r="X95" i="3"/>
  <c r="W95" i="3"/>
  <c r="O95" i="3"/>
  <c r="M95" i="3"/>
  <c r="AA94" i="3"/>
  <c r="X94" i="3"/>
  <c r="W94" i="3"/>
  <c r="O94" i="3"/>
  <c r="M94" i="3"/>
  <c r="AA93" i="3"/>
  <c r="X93" i="3"/>
  <c r="W93" i="3"/>
  <c r="O93" i="3"/>
  <c r="AA92" i="3"/>
  <c r="X92" i="3"/>
  <c r="W92" i="3"/>
  <c r="M92" i="3"/>
  <c r="O92" i="3" s="1"/>
  <c r="AA91" i="3"/>
  <c r="X91" i="3"/>
  <c r="Y91" i="3" s="1"/>
  <c r="AR15" i="26" s="1"/>
  <c r="W91" i="3"/>
  <c r="M91" i="3"/>
  <c r="O91" i="3" s="1"/>
  <c r="AA90" i="3"/>
  <c r="X90" i="3"/>
  <c r="W90" i="3"/>
  <c r="O90" i="3"/>
  <c r="M90" i="3"/>
  <c r="AA89" i="3"/>
  <c r="X89" i="3"/>
  <c r="W89" i="3"/>
  <c r="O89" i="3"/>
  <c r="M89" i="3"/>
  <c r="AA88" i="3"/>
  <c r="X88" i="3"/>
  <c r="W88" i="3"/>
  <c r="M88" i="3"/>
  <c r="O88" i="3" s="1"/>
  <c r="AA87" i="3"/>
  <c r="X87" i="3"/>
  <c r="W87" i="3"/>
  <c r="M87" i="3"/>
  <c r="O87" i="3" s="1"/>
  <c r="AA86" i="3"/>
  <c r="X86" i="3"/>
  <c r="W86" i="3"/>
  <c r="V86" i="3"/>
  <c r="AH14" i="26" s="1"/>
  <c r="AI14" i="26" s="1"/>
  <c r="M86" i="3"/>
  <c r="O86" i="3" s="1"/>
  <c r="X85" i="3"/>
  <c r="W85" i="3"/>
  <c r="M85" i="3"/>
  <c r="AA84" i="3"/>
  <c r="X84" i="3"/>
  <c r="W84" i="3"/>
  <c r="V84" i="3"/>
  <c r="AD14" i="26" s="1"/>
  <c r="AE14" i="26" s="1"/>
  <c r="O84" i="3"/>
  <c r="M84" i="3"/>
  <c r="X83" i="3"/>
  <c r="W83" i="3"/>
  <c r="M83" i="3"/>
  <c r="O83" i="3" s="1"/>
  <c r="AA82" i="3"/>
  <c r="X82" i="3"/>
  <c r="W82" i="3"/>
  <c r="Z14" i="26"/>
  <c r="AA14" i="26" s="1"/>
  <c r="M82" i="3"/>
  <c r="O82" i="3" s="1"/>
  <c r="AA81" i="3"/>
  <c r="X81" i="3"/>
  <c r="W81" i="3"/>
  <c r="M81" i="3"/>
  <c r="O81" i="3" s="1"/>
  <c r="X80" i="3"/>
  <c r="W80" i="3"/>
  <c r="M80" i="3"/>
  <c r="O80" i="3" s="1"/>
  <c r="AA79" i="3"/>
  <c r="X79" i="3"/>
  <c r="W79" i="3"/>
  <c r="O79" i="3"/>
  <c r="M79" i="3"/>
  <c r="X78" i="3"/>
  <c r="W78" i="3"/>
  <c r="V78" i="3"/>
  <c r="R14" i="26" s="1"/>
  <c r="O78" i="3"/>
  <c r="X77" i="3"/>
  <c r="W77" i="3"/>
  <c r="O77" i="3"/>
  <c r="X76" i="3"/>
  <c r="W76" i="3"/>
  <c r="O76" i="3"/>
  <c r="AA75" i="3"/>
  <c r="X75" i="3"/>
  <c r="W75" i="3"/>
  <c r="O75" i="3"/>
  <c r="AA74" i="3"/>
  <c r="X74" i="3"/>
  <c r="W74" i="3"/>
  <c r="O74" i="3"/>
  <c r="AA73" i="3"/>
  <c r="X73" i="3"/>
  <c r="W73" i="3"/>
  <c r="O73" i="3"/>
  <c r="AA72" i="3"/>
  <c r="X72" i="3"/>
  <c r="W72" i="3"/>
  <c r="O72" i="3"/>
  <c r="AA71" i="3"/>
  <c r="X71" i="3"/>
  <c r="W71" i="3"/>
  <c r="V71" i="3"/>
  <c r="D14" i="26" s="1"/>
  <c r="E14" i="26" s="1"/>
  <c r="U48" i="3"/>
  <c r="T48" i="3"/>
  <c r="M101" i="3" s="1"/>
  <c r="S48" i="3"/>
  <c r="R48" i="3"/>
  <c r="Q48" i="3"/>
  <c r="P48" i="3"/>
  <c r="O48" i="3"/>
  <c r="N48" i="3"/>
  <c r="M48" i="3"/>
  <c r="L48" i="3"/>
  <c r="H48" i="3"/>
  <c r="G48" i="3"/>
  <c r="F48" i="3"/>
  <c r="E48" i="3"/>
  <c r="B113" i="2"/>
  <c r="B59" i="2"/>
  <c r="B56" i="2"/>
  <c r="B53" i="2"/>
  <c r="B47" i="2"/>
  <c r="B45" i="2"/>
  <c r="B43" i="2"/>
  <c r="B38" i="2"/>
  <c r="AH23" i="2"/>
  <c r="AG23" i="2"/>
  <c r="AF23" i="2"/>
  <c r="AE23" i="2"/>
  <c r="AD23" i="2"/>
  <c r="AC23" i="2"/>
  <c r="AB23" i="2"/>
  <c r="AA23" i="2"/>
  <c r="Z23" i="2"/>
  <c r="Y23" i="2"/>
  <c r="X23" i="2"/>
  <c r="W23" i="2"/>
  <c r="V23" i="2"/>
  <c r="U23" i="2"/>
  <c r="T23" i="2"/>
  <c r="S23" i="2"/>
  <c r="R23" i="2"/>
  <c r="Q23" i="2"/>
  <c r="P23" i="2"/>
  <c r="O23" i="2"/>
  <c r="N23" i="2"/>
  <c r="M23" i="2"/>
  <c r="L23" i="2"/>
  <c r="K23" i="2"/>
  <c r="J23" i="2"/>
  <c r="I23" i="2"/>
  <c r="H23" i="2"/>
  <c r="G23" i="2"/>
  <c r="F23" i="2"/>
  <c r="E23" i="2"/>
  <c r="AH22" i="2"/>
  <c r="AG22" i="2"/>
  <c r="AF22" i="2"/>
  <c r="AE22" i="2"/>
  <c r="AD22" i="2"/>
  <c r="AC22" i="2"/>
  <c r="AB22" i="2"/>
  <c r="AA22" i="2"/>
  <c r="Z22" i="2"/>
  <c r="Y22" i="2"/>
  <c r="X22" i="2"/>
  <c r="W22" i="2"/>
  <c r="V22" i="2"/>
  <c r="U22" i="2"/>
  <c r="T22" i="2"/>
  <c r="S22" i="2"/>
  <c r="R22" i="2"/>
  <c r="Q22" i="2"/>
  <c r="P22" i="2"/>
  <c r="O22" i="2"/>
  <c r="N22" i="2"/>
  <c r="M22" i="2"/>
  <c r="L22" i="2"/>
  <c r="K22" i="2"/>
  <c r="J22" i="2"/>
  <c r="I22" i="2"/>
  <c r="H22" i="2"/>
  <c r="G22" i="2"/>
  <c r="F22" i="2"/>
  <c r="E22" i="2"/>
  <c r="T14" i="2"/>
  <c r="R14" i="2"/>
  <c r="C62" i="26"/>
  <c r="BM61" i="26"/>
  <c r="AO61" i="26"/>
  <c r="AK61" i="26"/>
  <c r="AI61" i="26"/>
  <c r="AE61" i="26"/>
  <c r="AD61" i="26"/>
  <c r="AA61" i="26"/>
  <c r="Z61" i="26"/>
  <c r="I61" i="26"/>
  <c r="G61" i="26"/>
  <c r="E61" i="26"/>
  <c r="D61" i="26"/>
  <c r="BM60" i="26"/>
  <c r="AI60" i="26"/>
  <c r="AH60" i="26"/>
  <c r="AE60" i="26"/>
  <c r="AD60" i="26"/>
  <c r="BM59" i="26"/>
  <c r="AI59" i="26"/>
  <c r="AH59" i="26"/>
  <c r="AE59" i="26"/>
  <c r="AD59" i="26"/>
  <c r="BM58" i="26"/>
  <c r="AK58" i="26"/>
  <c r="AE58" i="26"/>
  <c r="BM57" i="26"/>
  <c r="AI57" i="26"/>
  <c r="AH57" i="26"/>
  <c r="AE57" i="26"/>
  <c r="AD57" i="26"/>
  <c r="BK56" i="26"/>
  <c r="BI56" i="26"/>
  <c r="BG56" i="26"/>
  <c r="BE56" i="26"/>
  <c r="BC56" i="26"/>
  <c r="BA56" i="26"/>
  <c r="AY56" i="26"/>
  <c r="AW56" i="26"/>
  <c r="AU56" i="26"/>
  <c r="AS56" i="26"/>
  <c r="AQ56" i="26"/>
  <c r="AO56" i="26"/>
  <c r="AM56" i="26"/>
  <c r="AK56" i="26"/>
  <c r="AI56" i="26"/>
  <c r="AG56" i="26"/>
  <c r="AE56" i="26"/>
  <c r="AC56" i="26"/>
  <c r="AA56" i="26"/>
  <c r="Y56" i="26"/>
  <c r="W56" i="26"/>
  <c r="U56" i="26"/>
  <c r="S56" i="26"/>
  <c r="Q56" i="26"/>
  <c r="O56" i="26"/>
  <c r="M56" i="26"/>
  <c r="K56" i="26"/>
  <c r="I56" i="26"/>
  <c r="BM56" i="26" s="1"/>
  <c r="G56" i="26"/>
  <c r="E56" i="26"/>
  <c r="BM55" i="26"/>
  <c r="BK55" i="26"/>
  <c r="BI55" i="26"/>
  <c r="BG55" i="26"/>
  <c r="BE55" i="26"/>
  <c r="BC55" i="26"/>
  <c r="BA55" i="26"/>
  <c r="AY55" i="26"/>
  <c r="AW55" i="26"/>
  <c r="AU55" i="26"/>
  <c r="AS55" i="26"/>
  <c r="AQ55" i="26"/>
  <c r="AO55" i="26"/>
  <c r="AM55" i="26"/>
  <c r="AK55" i="26"/>
  <c r="AI55" i="26"/>
  <c r="AG55" i="26"/>
  <c r="AE55" i="26"/>
  <c r="AC55" i="26"/>
  <c r="AA55" i="26"/>
  <c r="Y55" i="26"/>
  <c r="W55" i="26"/>
  <c r="U55" i="26"/>
  <c r="S55" i="26"/>
  <c r="Q55" i="26"/>
  <c r="O55" i="26"/>
  <c r="M55" i="26"/>
  <c r="K55" i="26"/>
  <c r="I55" i="26"/>
  <c r="G55" i="26"/>
  <c r="E55" i="26"/>
  <c r="BM54" i="26"/>
  <c r="BJ54" i="26"/>
  <c r="BH54" i="26"/>
  <c r="BF54" i="26"/>
  <c r="BD54" i="26"/>
  <c r="BB54" i="26"/>
  <c r="AZ54" i="26"/>
  <c r="AX54" i="26"/>
  <c r="AV54" i="26"/>
  <c r="AT54" i="26"/>
  <c r="AR54" i="26"/>
  <c r="AP54" i="26"/>
  <c r="AN54" i="26"/>
  <c r="AL54" i="26"/>
  <c r="AJ54" i="26"/>
  <c r="AI54" i="26"/>
  <c r="AH54" i="26"/>
  <c r="AF54" i="26"/>
  <c r="AE54" i="26"/>
  <c r="AD54" i="26"/>
  <c r="AB54" i="26"/>
  <c r="Z54" i="26"/>
  <c r="X54" i="26"/>
  <c r="V54" i="26"/>
  <c r="T54" i="26"/>
  <c r="R54" i="26"/>
  <c r="P54" i="26"/>
  <c r="N54" i="26"/>
  <c r="L54" i="26"/>
  <c r="J54" i="26"/>
  <c r="H54" i="26"/>
  <c r="F54" i="26"/>
  <c r="D54" i="26"/>
  <c r="BM53" i="26"/>
  <c r="BJ53" i="26"/>
  <c r="BH53" i="26"/>
  <c r="BF53" i="26"/>
  <c r="BD53" i="26"/>
  <c r="BB53" i="26"/>
  <c r="AZ53" i="26"/>
  <c r="AX53" i="26"/>
  <c r="AV53" i="26"/>
  <c r="AT53" i="26"/>
  <c r="AR53" i="26"/>
  <c r="AP53" i="26"/>
  <c r="AN53" i="26"/>
  <c r="AL53" i="26"/>
  <c r="AJ53" i="26"/>
  <c r="AI53" i="26"/>
  <c r="AH53" i="26"/>
  <c r="AF53" i="26"/>
  <c r="AE53" i="26"/>
  <c r="AD53" i="26"/>
  <c r="AB53" i="26"/>
  <c r="Z53" i="26"/>
  <c r="X53" i="26"/>
  <c r="V53" i="26"/>
  <c r="T53" i="26"/>
  <c r="R53" i="26"/>
  <c r="P53" i="26"/>
  <c r="N53" i="26"/>
  <c r="L53" i="26"/>
  <c r="J53" i="26"/>
  <c r="H53" i="26"/>
  <c r="F53" i="26"/>
  <c r="D53" i="26"/>
  <c r="BM52" i="26"/>
  <c r="BJ52" i="26"/>
  <c r="BH52" i="26"/>
  <c r="BF52" i="26"/>
  <c r="BD52" i="26"/>
  <c r="BB52" i="26"/>
  <c r="AZ52" i="26"/>
  <c r="AX52" i="26"/>
  <c r="AV52" i="26"/>
  <c r="AT52" i="26"/>
  <c r="AR52" i="26"/>
  <c r="AP52" i="26"/>
  <c r="AN52" i="26"/>
  <c r="AL52" i="26"/>
  <c r="AK52" i="26"/>
  <c r="AJ52" i="26"/>
  <c r="AH52" i="26"/>
  <c r="AF52" i="26"/>
  <c r="AE52" i="26"/>
  <c r="AD52" i="26"/>
  <c r="AB52" i="26"/>
  <c r="Z52" i="26"/>
  <c r="X52" i="26"/>
  <c r="V52" i="26"/>
  <c r="T52" i="26"/>
  <c r="R52" i="26"/>
  <c r="P52" i="26"/>
  <c r="N52" i="26"/>
  <c r="L52" i="26"/>
  <c r="J52" i="26"/>
  <c r="H52" i="26"/>
  <c r="F52" i="26"/>
  <c r="D52" i="26"/>
  <c r="BM51" i="26"/>
  <c r="BK51" i="26"/>
  <c r="BJ51" i="26"/>
  <c r="BI51" i="26"/>
  <c r="BH51" i="26"/>
  <c r="BG51" i="26"/>
  <c r="BF51" i="26"/>
  <c r="BE51" i="26"/>
  <c r="BD51" i="26"/>
  <c r="BC51" i="26"/>
  <c r="BB51" i="26"/>
  <c r="BA51" i="26"/>
  <c r="AZ51" i="26"/>
  <c r="AY51" i="26"/>
  <c r="AX51" i="26"/>
  <c r="AW51" i="26"/>
  <c r="AV51" i="26"/>
  <c r="AU51" i="26"/>
  <c r="AT51" i="26"/>
  <c r="AS51" i="26"/>
  <c r="AR51" i="26"/>
  <c r="AQ51" i="26"/>
  <c r="AP51" i="26"/>
  <c r="AO51" i="26"/>
  <c r="AN51" i="26"/>
  <c r="AM51" i="26"/>
  <c r="AL51" i="26"/>
  <c r="AK51" i="26"/>
  <c r="AJ51" i="26"/>
  <c r="AI51" i="26"/>
  <c r="AH51" i="26"/>
  <c r="AG51" i="26"/>
  <c r="AF51" i="26"/>
  <c r="AE51" i="26"/>
  <c r="AD51" i="26"/>
  <c r="AC51" i="26"/>
  <c r="AB51" i="26"/>
  <c r="AA51" i="26"/>
  <c r="Z51" i="26"/>
  <c r="Y51" i="26"/>
  <c r="X51" i="26"/>
  <c r="W51" i="26"/>
  <c r="V51" i="26"/>
  <c r="U51" i="26"/>
  <c r="T51" i="26"/>
  <c r="S51" i="26"/>
  <c r="R51" i="26"/>
  <c r="Q51" i="26"/>
  <c r="P51" i="26"/>
  <c r="O51" i="26"/>
  <c r="N51" i="26"/>
  <c r="M51" i="26"/>
  <c r="L51" i="26"/>
  <c r="K51" i="26"/>
  <c r="J51" i="26"/>
  <c r="I51" i="26"/>
  <c r="H51" i="26"/>
  <c r="G51" i="26"/>
  <c r="F51" i="26"/>
  <c r="E51" i="26"/>
  <c r="D51" i="26"/>
  <c r="BM50" i="26"/>
  <c r="BK50" i="26"/>
  <c r="BJ50" i="26"/>
  <c r="BI50" i="26"/>
  <c r="BH50" i="26"/>
  <c r="BG50" i="26"/>
  <c r="BF50" i="26"/>
  <c r="BE50" i="26"/>
  <c r="BD50" i="26"/>
  <c r="BC50" i="26"/>
  <c r="BB50" i="26"/>
  <c r="BA50" i="26"/>
  <c r="AZ50" i="26"/>
  <c r="AY50" i="26"/>
  <c r="AX50" i="26"/>
  <c r="AW50" i="26"/>
  <c r="AV50" i="26"/>
  <c r="AU50" i="26"/>
  <c r="AT50" i="26"/>
  <c r="AS50" i="26"/>
  <c r="AR50" i="26"/>
  <c r="AQ50" i="26"/>
  <c r="AP50" i="26"/>
  <c r="AO50" i="26"/>
  <c r="AN50" i="26"/>
  <c r="AM50" i="26"/>
  <c r="AL50" i="26"/>
  <c r="AK50" i="26"/>
  <c r="AJ50" i="26"/>
  <c r="AI50" i="26"/>
  <c r="AH50" i="26"/>
  <c r="AG50" i="26"/>
  <c r="AF50" i="26"/>
  <c r="AE50" i="26"/>
  <c r="AD50" i="26"/>
  <c r="AC50" i="26"/>
  <c r="AB50" i="26"/>
  <c r="AA50" i="26"/>
  <c r="Z50" i="26"/>
  <c r="Y50" i="26"/>
  <c r="X50" i="26"/>
  <c r="W50" i="26"/>
  <c r="V50" i="26"/>
  <c r="U50" i="26"/>
  <c r="T50" i="26"/>
  <c r="S50" i="26"/>
  <c r="R50" i="26"/>
  <c r="Q50" i="26"/>
  <c r="P50" i="26"/>
  <c r="O50" i="26"/>
  <c r="N50" i="26"/>
  <c r="M50" i="26"/>
  <c r="L50" i="26"/>
  <c r="K50" i="26"/>
  <c r="J50" i="26"/>
  <c r="I50" i="26"/>
  <c r="H50" i="26"/>
  <c r="G50" i="26"/>
  <c r="F50" i="26"/>
  <c r="E50" i="26"/>
  <c r="D50" i="26"/>
  <c r="BK49" i="26"/>
  <c r="BI49" i="26"/>
  <c r="BG49" i="26"/>
  <c r="BE49" i="26"/>
  <c r="BC49" i="26"/>
  <c r="BA49" i="26"/>
  <c r="AY49" i="26"/>
  <c r="AW49" i="26"/>
  <c r="AU49" i="26"/>
  <c r="AS49" i="26"/>
  <c r="AQ49" i="26"/>
  <c r="AO49" i="26"/>
  <c r="AM49" i="26"/>
  <c r="AK49" i="26"/>
  <c r="AI49" i="26"/>
  <c r="AG49" i="26"/>
  <c r="AE49" i="26"/>
  <c r="AC49" i="26"/>
  <c r="AA49" i="26"/>
  <c r="Y49" i="26"/>
  <c r="W49" i="26"/>
  <c r="U49" i="26"/>
  <c r="S49" i="26"/>
  <c r="Q49" i="26"/>
  <c r="O49" i="26"/>
  <c r="M49" i="26"/>
  <c r="K49" i="26"/>
  <c r="I49" i="26"/>
  <c r="BM49" i="26" s="1"/>
  <c r="G49" i="26"/>
  <c r="E49" i="26"/>
  <c r="AW48" i="26"/>
  <c r="AV48" i="26"/>
  <c r="AQ48" i="26"/>
  <c r="AP48" i="26"/>
  <c r="P48" i="26"/>
  <c r="Q48" i="26" s="1"/>
  <c r="K48" i="26"/>
  <c r="J48" i="26"/>
  <c r="BK47" i="26"/>
  <c r="BI47" i="26"/>
  <c r="BG47" i="26"/>
  <c r="BE47" i="26"/>
  <c r="BC47" i="26"/>
  <c r="BA47" i="26"/>
  <c r="AY47" i="26"/>
  <c r="AW47" i="26"/>
  <c r="AU47" i="26"/>
  <c r="AS47" i="26"/>
  <c r="AQ47" i="26"/>
  <c r="AO47" i="26"/>
  <c r="AM47" i="26"/>
  <c r="AK47" i="26"/>
  <c r="AI47" i="26"/>
  <c r="AG47" i="26"/>
  <c r="AE47" i="26"/>
  <c r="AC47" i="26"/>
  <c r="AA47" i="26"/>
  <c r="Y47" i="26"/>
  <c r="W47" i="26"/>
  <c r="U47" i="26"/>
  <c r="S47" i="26"/>
  <c r="Q47" i="26"/>
  <c r="O47" i="26"/>
  <c r="M47" i="26"/>
  <c r="K47" i="26"/>
  <c r="I47" i="26"/>
  <c r="G47" i="26"/>
  <c r="E47" i="26"/>
  <c r="BK46" i="26"/>
  <c r="BI46" i="26"/>
  <c r="BG46" i="26"/>
  <c r="BE46" i="26"/>
  <c r="BC46" i="26"/>
  <c r="BA46" i="26"/>
  <c r="AY46" i="26"/>
  <c r="AW46" i="26"/>
  <c r="AU46" i="26"/>
  <c r="AS46" i="26"/>
  <c r="AQ46" i="26"/>
  <c r="AO46" i="26"/>
  <c r="AM46" i="26"/>
  <c r="AK46" i="26"/>
  <c r="AI46" i="26"/>
  <c r="AG46" i="26"/>
  <c r="AE46" i="26"/>
  <c r="AC46" i="26"/>
  <c r="AA46" i="26"/>
  <c r="Y46" i="26"/>
  <c r="W46" i="26"/>
  <c r="U46" i="26"/>
  <c r="S46" i="26"/>
  <c r="Q46" i="26"/>
  <c r="O46" i="26"/>
  <c r="M46" i="26"/>
  <c r="K46" i="26"/>
  <c r="I46" i="26"/>
  <c r="G46" i="26"/>
  <c r="E46" i="26"/>
  <c r="BK45" i="26"/>
  <c r="BI45" i="26"/>
  <c r="BG45" i="26"/>
  <c r="BE45" i="26"/>
  <c r="BC45" i="26"/>
  <c r="BA45" i="26"/>
  <c r="AY45" i="26"/>
  <c r="AW45" i="26"/>
  <c r="AU45" i="26"/>
  <c r="AS45" i="26"/>
  <c r="AQ45" i="26"/>
  <c r="AO45" i="26"/>
  <c r="AM45" i="26"/>
  <c r="AK45" i="26"/>
  <c r="AI45" i="26"/>
  <c r="AG45" i="26"/>
  <c r="AE45" i="26"/>
  <c r="AC45" i="26"/>
  <c r="AA45" i="26"/>
  <c r="Y45" i="26"/>
  <c r="W45" i="26"/>
  <c r="U45" i="26"/>
  <c r="S45" i="26"/>
  <c r="Q45" i="26"/>
  <c r="O45" i="26"/>
  <c r="M45" i="26"/>
  <c r="K45" i="26"/>
  <c r="I45" i="26"/>
  <c r="G45" i="26"/>
  <c r="E45" i="26"/>
  <c r="AK44" i="26"/>
  <c r="AI44" i="26"/>
  <c r="AE44" i="26"/>
  <c r="AK43" i="26"/>
  <c r="AI43" i="26"/>
  <c r="AE43" i="26"/>
  <c r="D43" i="26"/>
  <c r="BK42" i="26"/>
  <c r="BI42" i="26"/>
  <c r="BG42" i="26"/>
  <c r="BE42" i="26"/>
  <c r="BC42" i="26"/>
  <c r="BA42" i="26"/>
  <c r="AY42" i="26"/>
  <c r="AW42" i="26"/>
  <c r="AU42" i="26"/>
  <c r="AS42" i="26"/>
  <c r="AQ42" i="26"/>
  <c r="AO42" i="26"/>
  <c r="AM42" i="26"/>
  <c r="AK42" i="26"/>
  <c r="AI42" i="26"/>
  <c r="AG42" i="26"/>
  <c r="AE42" i="26"/>
  <c r="AC42" i="26"/>
  <c r="AA42" i="26"/>
  <c r="Y42" i="26"/>
  <c r="W42" i="26"/>
  <c r="U42" i="26"/>
  <c r="S42" i="26"/>
  <c r="Q42" i="26"/>
  <c r="O42" i="26"/>
  <c r="M42" i="26"/>
  <c r="K42" i="26"/>
  <c r="I42" i="26"/>
  <c r="G42" i="26"/>
  <c r="E42" i="26"/>
  <c r="D42" i="26"/>
  <c r="BK41" i="26"/>
  <c r="BI41" i="26"/>
  <c r="BG41" i="26"/>
  <c r="BE41" i="26"/>
  <c r="BC41" i="26"/>
  <c r="BA41" i="26"/>
  <c r="AY41" i="26"/>
  <c r="AW41" i="26"/>
  <c r="AU41" i="26"/>
  <c r="AS41" i="26"/>
  <c r="AQ41" i="26"/>
  <c r="AO41" i="26"/>
  <c r="AM41" i="26"/>
  <c r="AK41" i="26"/>
  <c r="AI41" i="26"/>
  <c r="AG41" i="26"/>
  <c r="AE41" i="26"/>
  <c r="AC41" i="26"/>
  <c r="AA41" i="26"/>
  <c r="Y41" i="26"/>
  <c r="W41" i="26"/>
  <c r="U41" i="26"/>
  <c r="S41" i="26"/>
  <c r="Q41" i="26"/>
  <c r="O41" i="26"/>
  <c r="M41" i="26"/>
  <c r="K41" i="26"/>
  <c r="I41" i="26"/>
  <c r="G41" i="26"/>
  <c r="E41" i="26"/>
  <c r="D41" i="26"/>
  <c r="BJ39" i="26"/>
  <c r="BK36" i="26" s="1"/>
  <c r="BH39" i="26"/>
  <c r="BI36" i="26" s="1"/>
  <c r="BF39" i="26"/>
  <c r="BG36" i="26" s="1"/>
  <c r="BD39" i="26"/>
  <c r="BE36" i="26" s="1"/>
  <c r="BB39" i="26"/>
  <c r="BC36" i="26" s="1"/>
  <c r="AZ39" i="26"/>
  <c r="BA36" i="26" s="1"/>
  <c r="AX39" i="26"/>
  <c r="AY36" i="26" s="1"/>
  <c r="AV39" i="26"/>
  <c r="AT39" i="26"/>
  <c r="AR39" i="26"/>
  <c r="AP39" i="26"/>
  <c r="AN39" i="26"/>
  <c r="AO36" i="26" s="1"/>
  <c r="AL39" i="26"/>
  <c r="AM36" i="26" s="1"/>
  <c r="AK36" i="26"/>
  <c r="AJ39" i="26"/>
  <c r="AH39" i="26"/>
  <c r="AI39" i="26" s="1"/>
  <c r="AI36" i="26" s="1"/>
  <c r="AF39" i="26"/>
  <c r="AG36" i="26" s="1"/>
  <c r="AD39" i="26"/>
  <c r="AE39" i="26" s="1"/>
  <c r="AE36" i="26" s="1"/>
  <c r="AB39" i="26"/>
  <c r="AC36" i="26" s="1"/>
  <c r="Z39" i="26"/>
  <c r="AA36" i="26" s="1"/>
  <c r="X39" i="26"/>
  <c r="Y36" i="26" s="1"/>
  <c r="V39" i="26"/>
  <c r="T39" i="26"/>
  <c r="R39" i="26"/>
  <c r="P39" i="26"/>
  <c r="N39" i="26"/>
  <c r="L39" i="26"/>
  <c r="K39" i="26"/>
  <c r="J39" i="26"/>
  <c r="I39" i="26"/>
  <c r="H39" i="26"/>
  <c r="F39" i="26"/>
  <c r="D39" i="26"/>
  <c r="BM38" i="26"/>
  <c r="BK38" i="26"/>
  <c r="BJ38" i="26"/>
  <c r="BI38" i="26"/>
  <c r="BH38" i="26"/>
  <c r="BG38" i="26"/>
  <c r="BF38" i="26"/>
  <c r="BE38" i="26"/>
  <c r="BD38" i="26"/>
  <c r="BC38" i="26"/>
  <c r="BB38" i="26"/>
  <c r="BA38" i="26"/>
  <c r="AZ38" i="26"/>
  <c r="AY38" i="26"/>
  <c r="AX38" i="26"/>
  <c r="AV38" i="26"/>
  <c r="AT38" i="26"/>
  <c r="AR38" i="26"/>
  <c r="AQ38" i="26"/>
  <c r="AP38" i="26"/>
  <c r="AO38" i="26"/>
  <c r="AN38" i="26"/>
  <c r="AM38" i="26"/>
  <c r="AL38" i="26"/>
  <c r="AK38" i="26"/>
  <c r="AJ38" i="26"/>
  <c r="AI38" i="26"/>
  <c r="AH38" i="26"/>
  <c r="AG38" i="26"/>
  <c r="AF38" i="26"/>
  <c r="AE38" i="26"/>
  <c r="AD38" i="26"/>
  <c r="AC38" i="26"/>
  <c r="AB38" i="26"/>
  <c r="AA38" i="26"/>
  <c r="Z38" i="26"/>
  <c r="Y38" i="26"/>
  <c r="X38" i="26"/>
  <c r="V38" i="26"/>
  <c r="T38" i="26"/>
  <c r="R38" i="26"/>
  <c r="P38" i="26"/>
  <c r="N38" i="26"/>
  <c r="L38" i="26"/>
  <c r="K38" i="26"/>
  <c r="J38" i="26"/>
  <c r="I38" i="26"/>
  <c r="H38" i="26"/>
  <c r="G38" i="26"/>
  <c r="F38" i="26"/>
  <c r="E38" i="26"/>
  <c r="D38" i="26"/>
  <c r="BM37" i="26"/>
  <c r="BJ37" i="26"/>
  <c r="BH37" i="26"/>
  <c r="BF37" i="26"/>
  <c r="BD37" i="26"/>
  <c r="BB37" i="26"/>
  <c r="AZ37" i="26"/>
  <c r="AX37" i="26"/>
  <c r="AW37" i="26"/>
  <c r="AV37" i="26"/>
  <c r="AT37" i="26"/>
  <c r="AR37" i="26"/>
  <c r="AP37" i="26"/>
  <c r="AN37" i="26"/>
  <c r="AL37" i="26"/>
  <c r="AJ37" i="26"/>
  <c r="AI37" i="26"/>
  <c r="AH37" i="26"/>
  <c r="AF37" i="26"/>
  <c r="AE37" i="26"/>
  <c r="AD37" i="26"/>
  <c r="AB37" i="26"/>
  <c r="Z37" i="26"/>
  <c r="X37" i="26"/>
  <c r="V37" i="26"/>
  <c r="T37" i="26"/>
  <c r="S37" i="26"/>
  <c r="R37" i="26"/>
  <c r="P37" i="26"/>
  <c r="N37" i="26"/>
  <c r="L37" i="26"/>
  <c r="K37" i="26"/>
  <c r="J37" i="26"/>
  <c r="I37" i="26"/>
  <c r="H37" i="26"/>
  <c r="G37" i="26"/>
  <c r="F37" i="26"/>
  <c r="D37" i="26"/>
  <c r="AW36" i="26"/>
  <c r="W36" i="26"/>
  <c r="U36" i="26"/>
  <c r="S36" i="26"/>
  <c r="Q36" i="26"/>
  <c r="O36" i="26"/>
  <c r="M36" i="26"/>
  <c r="K36" i="26"/>
  <c r="I36" i="26"/>
  <c r="E36" i="26"/>
  <c r="BM35" i="26"/>
  <c r="BK35" i="26"/>
  <c r="BJ35" i="26"/>
  <c r="BI35" i="26"/>
  <c r="BH35" i="26"/>
  <c r="BG35" i="26"/>
  <c r="BF35" i="26"/>
  <c r="BE35" i="26"/>
  <c r="BD35" i="26"/>
  <c r="BC35" i="26"/>
  <c r="BB35" i="26"/>
  <c r="BA35" i="26"/>
  <c r="AZ35" i="26"/>
  <c r="AY35" i="26"/>
  <c r="AX35" i="26"/>
  <c r="AW35" i="26"/>
  <c r="AV35" i="26"/>
  <c r="AU35" i="26"/>
  <c r="AT35" i="26"/>
  <c r="AS35" i="26"/>
  <c r="AR35" i="26"/>
  <c r="AQ35" i="26"/>
  <c r="AP35" i="26"/>
  <c r="AO35" i="26"/>
  <c r="AN35" i="26"/>
  <c r="AM35" i="26"/>
  <c r="AL35" i="26"/>
  <c r="AK35" i="26"/>
  <c r="AJ35" i="26"/>
  <c r="AI35" i="26"/>
  <c r="AH35" i="26"/>
  <c r="AG35" i="26"/>
  <c r="AF35" i="26"/>
  <c r="AE35" i="26"/>
  <c r="AD35" i="26"/>
  <c r="AC35" i="26"/>
  <c r="AB35" i="26"/>
  <c r="AA35" i="26"/>
  <c r="Z35" i="26"/>
  <c r="Y35" i="26"/>
  <c r="X35" i="26"/>
  <c r="W35" i="26"/>
  <c r="V35" i="26"/>
  <c r="U35" i="26"/>
  <c r="T35" i="26"/>
  <c r="S35" i="26"/>
  <c r="R35" i="26"/>
  <c r="Q35" i="26"/>
  <c r="P35" i="26"/>
  <c r="O35" i="26"/>
  <c r="N35" i="26"/>
  <c r="M35" i="26"/>
  <c r="L35" i="26"/>
  <c r="K35" i="26"/>
  <c r="J35" i="26"/>
  <c r="I35" i="26"/>
  <c r="H35" i="26"/>
  <c r="G35" i="26"/>
  <c r="F35" i="26"/>
  <c r="E35" i="26"/>
  <c r="D35" i="26"/>
  <c r="BM34" i="26"/>
  <c r="BK34" i="26"/>
  <c r="BJ34" i="26"/>
  <c r="BI34" i="26"/>
  <c r="BH34" i="26"/>
  <c r="BG34" i="26"/>
  <c r="BF34" i="26"/>
  <c r="BE34" i="26"/>
  <c r="BD34" i="26"/>
  <c r="BC34" i="26"/>
  <c r="BB34" i="26"/>
  <c r="BA34" i="26"/>
  <c r="AZ34" i="26"/>
  <c r="AY34" i="26"/>
  <c r="AX34" i="26"/>
  <c r="AV34" i="26"/>
  <c r="AT34" i="26"/>
  <c r="AR34" i="26"/>
  <c r="AQ34" i="26"/>
  <c r="AP34" i="26"/>
  <c r="AO34" i="26"/>
  <c r="AN34" i="26"/>
  <c r="AM34" i="26"/>
  <c r="AL34" i="26"/>
  <c r="AK34" i="26"/>
  <c r="AJ34" i="26"/>
  <c r="AI34" i="26"/>
  <c r="AH34" i="26"/>
  <c r="AG34" i="26"/>
  <c r="AF34" i="26"/>
  <c r="AE34" i="26"/>
  <c r="AD34" i="26"/>
  <c r="AC34" i="26"/>
  <c r="AB34" i="26"/>
  <c r="AA34" i="26"/>
  <c r="Z34" i="26"/>
  <c r="Y34" i="26"/>
  <c r="X34" i="26"/>
  <c r="V34" i="26"/>
  <c r="T34" i="26"/>
  <c r="R34" i="26"/>
  <c r="P34" i="26"/>
  <c r="N34" i="26"/>
  <c r="L34" i="26"/>
  <c r="K34" i="26"/>
  <c r="J34" i="26"/>
  <c r="I34" i="26"/>
  <c r="H34" i="26"/>
  <c r="G34" i="26"/>
  <c r="F34" i="26"/>
  <c r="E34" i="26"/>
  <c r="D34" i="26"/>
  <c r="BM33" i="26"/>
  <c r="BK33" i="26"/>
  <c r="BI33" i="26"/>
  <c r="BG33" i="26"/>
  <c r="BE33" i="26"/>
  <c r="BC33" i="26"/>
  <c r="BA33" i="26"/>
  <c r="AY33" i="26"/>
  <c r="AW33" i="26"/>
  <c r="AO33" i="26"/>
  <c r="AK33" i="26"/>
  <c r="AI33" i="26"/>
  <c r="AG33" i="26"/>
  <c r="AE33" i="26"/>
  <c r="AC33" i="26"/>
  <c r="AA33" i="26"/>
  <c r="Y33" i="26"/>
  <c r="W33" i="26"/>
  <c r="U33" i="26"/>
  <c r="S33" i="26"/>
  <c r="Q33" i="26"/>
  <c r="O33" i="26"/>
  <c r="M33" i="26"/>
  <c r="K33" i="26"/>
  <c r="G33" i="26"/>
  <c r="E33" i="26"/>
  <c r="BK32" i="26"/>
  <c r="BJ32" i="26"/>
  <c r="BI32" i="26"/>
  <c r="BH32" i="26"/>
  <c r="BG32" i="26"/>
  <c r="BF32" i="26"/>
  <c r="BE32" i="26"/>
  <c r="BD32" i="26"/>
  <c r="BC32" i="26"/>
  <c r="BB32" i="26"/>
  <c r="BA32" i="26"/>
  <c r="AZ32" i="26"/>
  <c r="AY32" i="26"/>
  <c r="AX32" i="26"/>
  <c r="AV32" i="26"/>
  <c r="AT32" i="26"/>
  <c r="AR32" i="26"/>
  <c r="AQ32" i="26"/>
  <c r="AP32" i="26"/>
  <c r="AO32" i="26"/>
  <c r="AN32" i="26"/>
  <c r="AM32" i="26"/>
  <c r="AL32" i="26"/>
  <c r="AK32" i="26"/>
  <c r="AJ32" i="26"/>
  <c r="AI32" i="26"/>
  <c r="AH32" i="26"/>
  <c r="AG32" i="26"/>
  <c r="AF32" i="26"/>
  <c r="AE32" i="26"/>
  <c r="AD32" i="26"/>
  <c r="AC32" i="26"/>
  <c r="AB32" i="26"/>
  <c r="AA32" i="26"/>
  <c r="Z32" i="26"/>
  <c r="Y32" i="26"/>
  <c r="X32" i="26"/>
  <c r="V32" i="26"/>
  <c r="T32" i="26"/>
  <c r="R32" i="26"/>
  <c r="P32" i="26"/>
  <c r="N32" i="26"/>
  <c r="L32" i="26"/>
  <c r="K32" i="26"/>
  <c r="J32" i="26"/>
  <c r="I32" i="26"/>
  <c r="H32" i="26"/>
  <c r="G32" i="26"/>
  <c r="F32" i="26"/>
  <c r="E32" i="26"/>
  <c r="D32" i="26"/>
  <c r="BJ31" i="26"/>
  <c r="BK31" i="26" s="1"/>
  <c r="BK28" i="26" s="1"/>
  <c r="BF31" i="26"/>
  <c r="BG31" i="26" s="1"/>
  <c r="BG28" i="26" s="1"/>
  <c r="BD31" i="26"/>
  <c r="BE31" i="26" s="1"/>
  <c r="BE28" i="26" s="1"/>
  <c r="BB31" i="26"/>
  <c r="BC31" i="26" s="1"/>
  <c r="BC28" i="26" s="1"/>
  <c r="AX31" i="26"/>
  <c r="AY31" i="26" s="1"/>
  <c r="AY28" i="26" s="1"/>
  <c r="AV31" i="26"/>
  <c r="AW28" i="26" s="1"/>
  <c r="AT31" i="26"/>
  <c r="AR31" i="26"/>
  <c r="AQ31" i="26"/>
  <c r="AP31" i="26"/>
  <c r="AO31" i="26"/>
  <c r="AN31" i="26"/>
  <c r="AL31" i="26"/>
  <c r="AM31" i="26" s="1"/>
  <c r="AM28" i="26" s="1"/>
  <c r="AH31" i="26"/>
  <c r="AI31" i="26" s="1"/>
  <c r="AI28" i="26" s="1"/>
  <c r="AF31" i="26"/>
  <c r="AG31" i="26" s="1"/>
  <c r="AG28" i="26" s="1"/>
  <c r="Z31" i="26"/>
  <c r="AA31" i="26" s="1"/>
  <c r="AA28" i="26" s="1"/>
  <c r="X31" i="26"/>
  <c r="Y31" i="26" s="1"/>
  <c r="Y28" i="26" s="1"/>
  <c r="V31" i="26"/>
  <c r="W28" i="26" s="1"/>
  <c r="T31" i="26"/>
  <c r="U28" i="26" s="1"/>
  <c r="S28" i="26"/>
  <c r="R31" i="26"/>
  <c r="P31" i="26"/>
  <c r="Q28" i="26" s="1"/>
  <c r="N31" i="26"/>
  <c r="O28" i="26" s="1"/>
  <c r="L31" i="26"/>
  <c r="J31" i="26"/>
  <c r="K31" i="26" s="1"/>
  <c r="K28" i="26" s="1"/>
  <c r="G31" i="26"/>
  <c r="F31" i="26"/>
  <c r="E31" i="26"/>
  <c r="E28" i="26" s="1"/>
  <c r="D31" i="26"/>
  <c r="BM30" i="26"/>
  <c r="BK30" i="26"/>
  <c r="BJ30" i="26"/>
  <c r="BI30" i="26"/>
  <c r="BH30" i="26"/>
  <c r="BG30" i="26"/>
  <c r="BF30" i="26"/>
  <c r="BE30" i="26"/>
  <c r="BD30" i="26"/>
  <c r="BC30" i="26"/>
  <c r="BB30" i="26"/>
  <c r="BA30" i="26"/>
  <c r="AZ30" i="26"/>
  <c r="AY30" i="26"/>
  <c r="AX30" i="26"/>
  <c r="AV30" i="26"/>
  <c r="AT30" i="26"/>
  <c r="AR30" i="26"/>
  <c r="AQ30" i="26"/>
  <c r="AP30" i="26"/>
  <c r="AO30" i="26"/>
  <c r="AN30" i="26"/>
  <c r="AM30" i="26"/>
  <c r="AL30" i="26"/>
  <c r="AK30" i="26"/>
  <c r="AJ30" i="26"/>
  <c r="AI30" i="26"/>
  <c r="AH30" i="26"/>
  <c r="AG30" i="26"/>
  <c r="AF30" i="26"/>
  <c r="AE30" i="26"/>
  <c r="AD30" i="26"/>
  <c r="AC30" i="26"/>
  <c r="AB30" i="26"/>
  <c r="AA30" i="26"/>
  <c r="Z30" i="26"/>
  <c r="Y30" i="26"/>
  <c r="X30" i="26"/>
  <c r="V30" i="26"/>
  <c r="T30" i="26"/>
  <c r="R30" i="26"/>
  <c r="P30" i="26"/>
  <c r="N30" i="26"/>
  <c r="L30" i="26"/>
  <c r="K30" i="26"/>
  <c r="J30" i="26"/>
  <c r="I30" i="26"/>
  <c r="H30" i="26"/>
  <c r="G30" i="26"/>
  <c r="F30" i="26"/>
  <c r="E30" i="26"/>
  <c r="D30" i="26"/>
  <c r="BK29" i="26"/>
  <c r="BJ29" i="26"/>
  <c r="BI29" i="26"/>
  <c r="BH29" i="26"/>
  <c r="BG29" i="26"/>
  <c r="BF29" i="26"/>
  <c r="BE29" i="26"/>
  <c r="BD29" i="26"/>
  <c r="BC29" i="26"/>
  <c r="BB29" i="26"/>
  <c r="BA29" i="26"/>
  <c r="AZ29" i="26"/>
  <c r="AY29" i="26"/>
  <c r="AX29" i="26"/>
  <c r="AV29" i="26"/>
  <c r="AT29" i="26"/>
  <c r="AR29" i="26"/>
  <c r="AQ29" i="26"/>
  <c r="AP29" i="26"/>
  <c r="AO29" i="26"/>
  <c r="AN29" i="26"/>
  <c r="AM29" i="26"/>
  <c r="AL29" i="26"/>
  <c r="AK29" i="26"/>
  <c r="AJ29" i="26"/>
  <c r="AI29" i="26"/>
  <c r="AH29" i="26"/>
  <c r="AG29" i="26"/>
  <c r="AF29" i="26"/>
  <c r="AE29" i="26"/>
  <c r="AD29" i="26"/>
  <c r="AC29" i="26"/>
  <c r="AB29" i="26"/>
  <c r="AA29" i="26"/>
  <c r="Z29" i="26"/>
  <c r="Y29" i="26"/>
  <c r="X29" i="26"/>
  <c r="V29" i="26"/>
  <c r="T29" i="26"/>
  <c r="R29" i="26"/>
  <c r="P29" i="26"/>
  <c r="N29" i="26"/>
  <c r="L29" i="26"/>
  <c r="K29" i="26"/>
  <c r="J29" i="26"/>
  <c r="I29" i="26"/>
  <c r="H29" i="26"/>
  <c r="G29" i="26"/>
  <c r="F29" i="26"/>
  <c r="E29" i="26"/>
  <c r="D29" i="26"/>
  <c r="AO28" i="26"/>
  <c r="M28" i="26"/>
  <c r="G28" i="26"/>
  <c r="BK27" i="26"/>
  <c r="BI27" i="26"/>
  <c r="BG27" i="26"/>
  <c r="BE27" i="26"/>
  <c r="BC27" i="26"/>
  <c r="BA27" i="26"/>
  <c r="AY27" i="26"/>
  <c r="AW27" i="26"/>
  <c r="AU27" i="26"/>
  <c r="AQ27" i="26"/>
  <c r="AO27" i="26"/>
  <c r="AK27" i="26"/>
  <c r="AI27" i="26"/>
  <c r="AE27" i="26"/>
  <c r="AA27" i="26"/>
  <c r="K27" i="26"/>
  <c r="I27" i="26"/>
  <c r="E27" i="26"/>
  <c r="BJ26" i="26"/>
  <c r="BK26" i="26" s="1"/>
  <c r="BH26" i="26"/>
  <c r="BI26" i="26" s="1"/>
  <c r="BF26" i="26"/>
  <c r="BG26" i="26" s="1"/>
  <c r="BD26" i="26"/>
  <c r="BE26" i="26" s="1"/>
  <c r="BB26" i="26"/>
  <c r="BC26" i="26" s="1"/>
  <c r="AZ26" i="26"/>
  <c r="BA26" i="26" s="1"/>
  <c r="AX26" i="26"/>
  <c r="AY26" i="26" s="1"/>
  <c r="AV26" i="26"/>
  <c r="AW26" i="26" s="1"/>
  <c r="AT26" i="26"/>
  <c r="AU26" i="26" s="1"/>
  <c r="AR26" i="26"/>
  <c r="AP26" i="26"/>
  <c r="AQ26" i="26" s="1"/>
  <c r="AN26" i="26"/>
  <c r="AO26" i="26" s="1"/>
  <c r="AL26" i="26"/>
  <c r="AM26" i="26" s="1"/>
  <c r="AK26" i="26"/>
  <c r="AJ26" i="26"/>
  <c r="AI26" i="26"/>
  <c r="AH26" i="26"/>
  <c r="AF26" i="26"/>
  <c r="AE26" i="26"/>
  <c r="AD26" i="26"/>
  <c r="AB26" i="26"/>
  <c r="Z26" i="26"/>
  <c r="AA26" i="26" s="1"/>
  <c r="X26" i="26"/>
  <c r="V26" i="26"/>
  <c r="T26" i="26"/>
  <c r="R26" i="26"/>
  <c r="P26" i="26"/>
  <c r="N26" i="26"/>
  <c r="L26" i="26"/>
  <c r="K26" i="26"/>
  <c r="J26" i="26"/>
  <c r="I26" i="26"/>
  <c r="H26" i="26"/>
  <c r="F26" i="26"/>
  <c r="D26" i="26"/>
  <c r="E26" i="26" s="1"/>
  <c r="BJ25" i="26"/>
  <c r="BH25" i="26"/>
  <c r="BF25" i="26"/>
  <c r="BD25" i="26"/>
  <c r="BB25" i="26"/>
  <c r="AZ25" i="26"/>
  <c r="AX25" i="26"/>
  <c r="AV25" i="26"/>
  <c r="AT25" i="26"/>
  <c r="AR25" i="26"/>
  <c r="AP25" i="26"/>
  <c r="AN25" i="26"/>
  <c r="AL25" i="26"/>
  <c r="AM25" i="26" s="1"/>
  <c r="AJ25" i="26"/>
  <c r="AH25" i="26"/>
  <c r="AF25" i="26"/>
  <c r="AD25" i="26"/>
  <c r="AW25" i="26"/>
  <c r="AB25" i="26"/>
  <c r="Z25" i="26"/>
  <c r="X25" i="26"/>
  <c r="V25" i="26"/>
  <c r="AQ25" i="26" s="1"/>
  <c r="BK25" i="26" s="1"/>
  <c r="T25" i="26"/>
  <c r="AO25" i="26" s="1"/>
  <c r="R25" i="26"/>
  <c r="AK25" i="26"/>
  <c r="BE25" i="26" s="1"/>
  <c r="P25" i="26"/>
  <c r="AI25" i="26"/>
  <c r="N25" i="26"/>
  <c r="BA25" i="26"/>
  <c r="L25" i="26"/>
  <c r="K25" i="26"/>
  <c r="AE25" i="26" s="1"/>
  <c r="AY25" i="26" s="1"/>
  <c r="J25" i="26"/>
  <c r="I25" i="26"/>
  <c r="H25" i="26"/>
  <c r="F25" i="26"/>
  <c r="AA25" i="26" s="1"/>
  <c r="E25" i="26"/>
  <c r="D25" i="26"/>
  <c r="BK24" i="26"/>
  <c r="BJ24" i="26"/>
  <c r="BH24" i="26"/>
  <c r="BI24" i="26" s="1"/>
  <c r="BG24" i="26"/>
  <c r="BF24" i="26"/>
  <c r="BD24" i="26"/>
  <c r="BE24" i="26" s="1"/>
  <c r="BB24" i="26"/>
  <c r="BC24" i="26" s="1"/>
  <c r="BA24" i="26"/>
  <c r="AZ24" i="26"/>
  <c r="AY24" i="26"/>
  <c r="AX24" i="26"/>
  <c r="AV24" i="26"/>
  <c r="AW24" i="26" s="1"/>
  <c r="AT24" i="26"/>
  <c r="AU24" i="26" s="1"/>
  <c r="AR24" i="26"/>
  <c r="AP24" i="26"/>
  <c r="AQ24" i="26" s="1"/>
  <c r="AN24" i="26"/>
  <c r="AO24" i="26" s="1"/>
  <c r="AL24" i="26"/>
  <c r="AM24" i="26" s="1"/>
  <c r="AK24" i="26"/>
  <c r="AJ24" i="26"/>
  <c r="AH24" i="26"/>
  <c r="AI24" i="26" s="1"/>
  <c r="AF24" i="26"/>
  <c r="AD24" i="26"/>
  <c r="AE24" i="26" s="1"/>
  <c r="AB24" i="26"/>
  <c r="Z24" i="26"/>
  <c r="AA24" i="26" s="1"/>
  <c r="X24" i="26"/>
  <c r="V24" i="26"/>
  <c r="T24" i="26"/>
  <c r="R24" i="26"/>
  <c r="P24" i="26"/>
  <c r="N24" i="26"/>
  <c r="L24" i="26"/>
  <c r="K24" i="26"/>
  <c r="J24" i="26"/>
  <c r="I24" i="26"/>
  <c r="H24" i="26"/>
  <c r="F24" i="26"/>
  <c r="D24" i="26"/>
  <c r="E24" i="26" s="1"/>
  <c r="BJ23" i="26"/>
  <c r="BK23" i="26" s="1"/>
  <c r="BH23" i="26"/>
  <c r="BI23" i="26" s="1"/>
  <c r="BG23" i="26"/>
  <c r="BF23" i="26"/>
  <c r="BE23" i="26"/>
  <c r="BD23" i="26"/>
  <c r="BB23" i="26"/>
  <c r="BC23" i="26" s="1"/>
  <c r="BA23" i="26"/>
  <c r="AZ23" i="26"/>
  <c r="AY23" i="26"/>
  <c r="AX23" i="26"/>
  <c r="AW23" i="26"/>
  <c r="AV23" i="26"/>
  <c r="AU23" i="26"/>
  <c r="AT23" i="26"/>
  <c r="AR23" i="26"/>
  <c r="AQ23" i="26"/>
  <c r="AP23" i="26"/>
  <c r="AO23" i="26"/>
  <c r="AN23" i="26"/>
  <c r="AL23" i="26"/>
  <c r="AM23" i="26" s="1"/>
  <c r="AK23" i="26"/>
  <c r="AJ23" i="26"/>
  <c r="AH23" i="26"/>
  <c r="AI23" i="26" s="1"/>
  <c r="AF23" i="26"/>
  <c r="AD23" i="26"/>
  <c r="AE23" i="26" s="1"/>
  <c r="AB23" i="26"/>
  <c r="AA23" i="26"/>
  <c r="Z23" i="26"/>
  <c r="X23" i="26"/>
  <c r="Y23" i="26" s="1"/>
  <c r="V23" i="26"/>
  <c r="T23" i="26"/>
  <c r="R23" i="26"/>
  <c r="P23" i="26"/>
  <c r="N23" i="26"/>
  <c r="L23" i="26"/>
  <c r="J23" i="26"/>
  <c r="K23" i="26" s="1"/>
  <c r="H23" i="26"/>
  <c r="I23" i="26" s="1"/>
  <c r="F23" i="26"/>
  <c r="D23" i="26"/>
  <c r="E23" i="26" s="1"/>
  <c r="BJ22" i="26"/>
  <c r="BK22" i="26" s="1"/>
  <c r="BH22" i="26"/>
  <c r="BI22" i="26" s="1"/>
  <c r="BF22" i="26"/>
  <c r="BG22" i="26" s="1"/>
  <c r="BD22" i="26"/>
  <c r="BE22" i="26" s="1"/>
  <c r="BB22" i="26"/>
  <c r="BC22" i="26" s="1"/>
  <c r="AZ22" i="26"/>
  <c r="BA22" i="26" s="1"/>
  <c r="AX22" i="26"/>
  <c r="AY22" i="26" s="1"/>
  <c r="AV22" i="26"/>
  <c r="AW22" i="26" s="1"/>
  <c r="AU22" i="26"/>
  <c r="AT22" i="26"/>
  <c r="AR22" i="26"/>
  <c r="AP22" i="26"/>
  <c r="AQ22" i="26" s="1"/>
  <c r="AN22" i="26"/>
  <c r="AO22" i="26" s="1"/>
  <c r="AL22" i="26"/>
  <c r="AM22" i="26" s="1"/>
  <c r="AJ22" i="26"/>
  <c r="AK22" i="26" s="1"/>
  <c r="AH22" i="26"/>
  <c r="AI22" i="26" s="1"/>
  <c r="AF22" i="26"/>
  <c r="AD22" i="26"/>
  <c r="AE22" i="26" s="1"/>
  <c r="AB22" i="26"/>
  <c r="Z22" i="26"/>
  <c r="AA22" i="26" s="1"/>
  <c r="X22" i="26"/>
  <c r="Y22" i="26" s="1"/>
  <c r="V22" i="26"/>
  <c r="T22" i="26"/>
  <c r="R22" i="26"/>
  <c r="P22" i="26"/>
  <c r="N22" i="26"/>
  <c r="L22" i="26"/>
  <c r="K22" i="26"/>
  <c r="J22" i="26"/>
  <c r="I22" i="26"/>
  <c r="H22" i="26"/>
  <c r="F22" i="26"/>
  <c r="G22" i="26" s="1"/>
  <c r="E22" i="26"/>
  <c r="D22" i="26"/>
  <c r="BJ21" i="26"/>
  <c r="BK21" i="26" s="1"/>
  <c r="BI21" i="26"/>
  <c r="BH21" i="26"/>
  <c r="BF21" i="26"/>
  <c r="BG21" i="26" s="1"/>
  <c r="BD21" i="26"/>
  <c r="BE21" i="26" s="1"/>
  <c r="BB21" i="26"/>
  <c r="BC21" i="26" s="1"/>
  <c r="AZ21" i="26"/>
  <c r="BA21" i="26" s="1"/>
  <c r="AX21" i="26"/>
  <c r="AY21" i="26" s="1"/>
  <c r="AW21" i="26"/>
  <c r="AV21" i="26"/>
  <c r="AU21" i="26"/>
  <c r="AT21" i="26"/>
  <c r="AR21" i="26"/>
  <c r="AP21" i="26"/>
  <c r="AQ21" i="26" s="1"/>
  <c r="AN21" i="26"/>
  <c r="AO21" i="26" s="1"/>
  <c r="AL21" i="26"/>
  <c r="AM21" i="26" s="1"/>
  <c r="AJ21" i="26"/>
  <c r="AK21" i="26" s="1"/>
  <c r="AH21" i="26"/>
  <c r="AI21" i="26" s="1"/>
  <c r="AF21" i="26"/>
  <c r="AD21" i="26"/>
  <c r="AE21" i="26" s="1"/>
  <c r="AB21" i="26"/>
  <c r="Z21" i="26"/>
  <c r="AA21" i="26" s="1"/>
  <c r="X21" i="26"/>
  <c r="Y21" i="26" s="1"/>
  <c r="V21" i="26"/>
  <c r="T21" i="26"/>
  <c r="R21" i="26"/>
  <c r="P21" i="26"/>
  <c r="N21" i="26"/>
  <c r="L21" i="26"/>
  <c r="J21" i="26"/>
  <c r="K21" i="26" s="1"/>
  <c r="H21" i="26"/>
  <c r="I21" i="26" s="1"/>
  <c r="F21" i="26"/>
  <c r="G21" i="26" s="1"/>
  <c r="D21" i="26"/>
  <c r="E21" i="26" s="1"/>
  <c r="BJ20" i="26"/>
  <c r="BK20" i="26" s="1"/>
  <c r="BI20" i="26"/>
  <c r="BH20" i="26"/>
  <c r="BG20" i="26"/>
  <c r="BF20" i="26"/>
  <c r="BE20" i="26"/>
  <c r="BD20" i="26"/>
  <c r="BC20" i="26"/>
  <c r="BB20" i="26"/>
  <c r="BA20" i="26"/>
  <c r="AZ20" i="26"/>
  <c r="AY20" i="26"/>
  <c r="AX20" i="26"/>
  <c r="AV20" i="26"/>
  <c r="AT20" i="26"/>
  <c r="AR20" i="26"/>
  <c r="AQ20" i="26"/>
  <c r="AP20" i="26"/>
  <c r="AO20" i="26"/>
  <c r="AN20" i="26"/>
  <c r="AL20" i="26"/>
  <c r="AK20" i="26"/>
  <c r="AJ20" i="26"/>
  <c r="AI20" i="26"/>
  <c r="AH20" i="26"/>
  <c r="AF20" i="26"/>
  <c r="AE20" i="26"/>
  <c r="AD20" i="26"/>
  <c r="AB20" i="26"/>
  <c r="AA20" i="26"/>
  <c r="Z20" i="26"/>
  <c r="X20" i="26"/>
  <c r="V20" i="26"/>
  <c r="T20" i="26"/>
  <c r="R20" i="26"/>
  <c r="P20" i="26"/>
  <c r="N20" i="26"/>
  <c r="L20" i="26"/>
  <c r="K20" i="26"/>
  <c r="J20" i="26"/>
  <c r="I20" i="26"/>
  <c r="H20" i="26"/>
  <c r="F20" i="26"/>
  <c r="E20" i="26"/>
  <c r="D20" i="26"/>
  <c r="BJ19" i="26"/>
  <c r="BK19" i="26" s="1"/>
  <c r="BH19" i="26"/>
  <c r="BI19" i="26" s="1"/>
  <c r="BG19" i="26"/>
  <c r="BF19" i="26"/>
  <c r="BD19" i="26"/>
  <c r="BE19" i="26" s="1"/>
  <c r="BB19" i="26"/>
  <c r="BC19" i="26" s="1"/>
  <c r="BA19" i="26"/>
  <c r="AZ19" i="26"/>
  <c r="AY19" i="26"/>
  <c r="AX19" i="26"/>
  <c r="AV19" i="26"/>
  <c r="AT19" i="26"/>
  <c r="AR19" i="26"/>
  <c r="AQ19" i="26"/>
  <c r="AP19" i="26"/>
  <c r="AN19" i="26"/>
  <c r="AO19" i="26" s="1"/>
  <c r="AL19" i="26"/>
  <c r="AK19" i="26"/>
  <c r="AJ19" i="26"/>
  <c r="AI19" i="26"/>
  <c r="AH19" i="26"/>
  <c r="AF19" i="26"/>
  <c r="AD19" i="26"/>
  <c r="AE19" i="26" s="1"/>
  <c r="AB19" i="26"/>
  <c r="Z19" i="26"/>
  <c r="AA19" i="26" s="1"/>
  <c r="X19" i="26"/>
  <c r="V19" i="26"/>
  <c r="T19" i="26"/>
  <c r="R19" i="26"/>
  <c r="P19" i="26"/>
  <c r="N19" i="26"/>
  <c r="L19" i="26"/>
  <c r="K19" i="26"/>
  <c r="J19" i="26"/>
  <c r="I19" i="26"/>
  <c r="F19" i="26"/>
  <c r="D19" i="26"/>
  <c r="E19" i="26" s="1"/>
  <c r="BI18" i="26"/>
  <c r="BE18" i="26"/>
  <c r="BC18" i="26"/>
  <c r="AX18" i="26"/>
  <c r="AY18" i="26" s="1"/>
  <c r="AV18" i="26"/>
  <c r="AT18" i="26"/>
  <c r="AR18" i="26"/>
  <c r="AP18" i="26"/>
  <c r="AQ18" i="26" s="1"/>
  <c r="AN18" i="26"/>
  <c r="AO18" i="26" s="1"/>
  <c r="AE18" i="26"/>
  <c r="AB18" i="26"/>
  <c r="V18" i="26"/>
  <c r="T18" i="26"/>
  <c r="R18" i="26"/>
  <c r="P18" i="26"/>
  <c r="N18" i="26"/>
  <c r="L18" i="26"/>
  <c r="BK17" i="26"/>
  <c r="BJ17" i="26"/>
  <c r="BH17" i="26"/>
  <c r="BI17" i="26" s="1"/>
  <c r="BF17" i="26"/>
  <c r="BG17" i="26" s="1"/>
  <c r="BD17" i="26"/>
  <c r="BE17" i="26" s="1"/>
  <c r="BB17" i="26"/>
  <c r="BC17" i="26" s="1"/>
  <c r="BA17" i="26"/>
  <c r="AZ17" i="26"/>
  <c r="AX17" i="26"/>
  <c r="AY17" i="26" s="1"/>
  <c r="AV17" i="26"/>
  <c r="AT17" i="26"/>
  <c r="AR17" i="26"/>
  <c r="AQ17" i="26"/>
  <c r="AP17" i="26"/>
  <c r="AN17" i="26"/>
  <c r="AO17" i="26" s="1"/>
  <c r="AL17" i="26"/>
  <c r="AJ17" i="26"/>
  <c r="AK17" i="26" s="1"/>
  <c r="AH17" i="26"/>
  <c r="AI17" i="26" s="1"/>
  <c r="AF17" i="26"/>
  <c r="AD17" i="26"/>
  <c r="AE17" i="26" s="1"/>
  <c r="AB17" i="26"/>
  <c r="Z17" i="26"/>
  <c r="AA17" i="26" s="1"/>
  <c r="X17" i="26"/>
  <c r="V17" i="26"/>
  <c r="T17" i="26"/>
  <c r="R17" i="26"/>
  <c r="P17" i="26"/>
  <c r="N17" i="26"/>
  <c r="L17" i="26"/>
  <c r="J17" i="26"/>
  <c r="K17" i="26" s="1"/>
  <c r="I17" i="26"/>
  <c r="H17" i="26"/>
  <c r="F17" i="26"/>
  <c r="E17" i="26"/>
  <c r="D17" i="26"/>
  <c r="BJ16" i="26"/>
  <c r="BK16" i="26" s="1"/>
  <c r="BG16" i="26"/>
  <c r="AY16" i="26"/>
  <c r="AV16" i="26"/>
  <c r="AT16" i="26"/>
  <c r="AR16" i="26"/>
  <c r="AQ16" i="26"/>
  <c r="AK16" i="26"/>
  <c r="AJ16" i="26"/>
  <c r="AH16" i="26"/>
  <c r="AI16" i="26" s="1"/>
  <c r="AF16" i="26"/>
  <c r="AB16" i="26"/>
  <c r="Z16" i="26"/>
  <c r="AA16" i="26" s="1"/>
  <c r="V16" i="26"/>
  <c r="T16" i="26"/>
  <c r="R16" i="26"/>
  <c r="P16" i="26"/>
  <c r="N16" i="26"/>
  <c r="L16" i="26"/>
  <c r="BH15" i="26"/>
  <c r="BI15" i="26" s="1"/>
  <c r="BE15" i="26"/>
  <c r="BD15" i="26"/>
  <c r="BC15" i="26"/>
  <c r="BB15" i="26"/>
  <c r="BA15" i="26"/>
  <c r="AZ15" i="26"/>
  <c r="AX15" i="26"/>
  <c r="AY15" i="26" s="1"/>
  <c r="AV15" i="26"/>
  <c r="AW15" i="26" s="1"/>
  <c r="AL15" i="26"/>
  <c r="AM15" i="26" s="1"/>
  <c r="AJ15" i="26"/>
  <c r="AK15" i="26" s="1"/>
  <c r="AF15" i="26"/>
  <c r="AB15" i="26"/>
  <c r="Z15" i="26"/>
  <c r="AA15" i="26" s="1"/>
  <c r="P15" i="26"/>
  <c r="N15" i="26"/>
  <c r="L15" i="26"/>
  <c r="J15" i="26"/>
  <c r="K15" i="26" s="1"/>
  <c r="I15" i="26"/>
  <c r="E15" i="26"/>
  <c r="D15" i="26"/>
  <c r="BK14" i="26"/>
  <c r="BJ14" i="26"/>
  <c r="BI14" i="26"/>
  <c r="BH14" i="26"/>
  <c r="BF14" i="26"/>
  <c r="BG14" i="26" s="1"/>
  <c r="BD14" i="26"/>
  <c r="BE14" i="26" s="1"/>
  <c r="BC14" i="26"/>
  <c r="BB14" i="26"/>
  <c r="BA14" i="26"/>
  <c r="AZ14" i="26"/>
  <c r="AY14" i="26"/>
  <c r="AX14" i="26"/>
  <c r="AW14" i="26"/>
  <c r="AV14" i="26"/>
  <c r="AT14" i="26"/>
  <c r="AU14" i="26" s="1"/>
  <c r="AP14" i="26"/>
  <c r="AQ14" i="26" s="1"/>
  <c r="AN14" i="26"/>
  <c r="AO14" i="26" s="1"/>
  <c r="AJ14" i="26"/>
  <c r="AK14" i="26" s="1"/>
  <c r="AF14" i="26"/>
  <c r="AB14" i="26"/>
  <c r="N14" i="26"/>
  <c r="J14" i="26"/>
  <c r="K14" i="26" s="1"/>
  <c r="I14" i="26"/>
  <c r="H14" i="26"/>
  <c r="BM12" i="26"/>
  <c r="BK10" i="26"/>
  <c r="BI10" i="26"/>
  <c r="BG10" i="26"/>
  <c r="BE10" i="26"/>
  <c r="BC10" i="26"/>
  <c r="BA10" i="26"/>
  <c r="AY10" i="26"/>
  <c r="AW10" i="26"/>
  <c r="AU10" i="26"/>
  <c r="AQ10" i="26"/>
  <c r="AO10" i="26"/>
  <c r="AM10" i="26"/>
  <c r="AK10" i="26"/>
  <c r="AI10" i="26"/>
  <c r="AG10" i="26"/>
  <c r="AE10" i="26"/>
  <c r="AC10" i="26"/>
  <c r="AA10" i="26"/>
  <c r="Y10" i="26"/>
  <c r="E10" i="26"/>
  <c r="I12" i="13" l="1"/>
  <c r="AW13" i="26"/>
  <c r="AA13" i="26"/>
  <c r="S40" i="26"/>
  <c r="H97" i="5"/>
  <c r="J97" i="5" s="1"/>
  <c r="BF48" i="26" s="1"/>
  <c r="BG48" i="26" s="1"/>
  <c r="AC27" i="6"/>
  <c r="BD16" i="26" s="1"/>
  <c r="BE16" i="26" s="1"/>
  <c r="BE13" i="26" s="1"/>
  <c r="F27" i="6"/>
  <c r="J16" i="26" s="1"/>
  <c r="K16" i="26" s="1"/>
  <c r="K13" i="26" s="1"/>
  <c r="P27" i="6"/>
  <c r="AD16" i="26" s="1"/>
  <c r="AE16" i="26" s="1"/>
  <c r="AE13" i="26" s="1"/>
  <c r="AE27" i="6"/>
  <c r="BH16" i="26" s="1"/>
  <c r="BI16" i="26" s="1"/>
  <c r="Y80" i="3"/>
  <c r="V15" i="26" s="1"/>
  <c r="W13" i="26" s="1"/>
  <c r="AA101" i="3"/>
  <c r="T27" i="6"/>
  <c r="AL16" i="26" s="1"/>
  <c r="AM16" i="26" s="1"/>
  <c r="AB27" i="6"/>
  <c r="BB16" i="26" s="1"/>
  <c r="BC16" i="26" s="1"/>
  <c r="C27" i="6"/>
  <c r="D16" i="26" s="1"/>
  <c r="E16" i="26" s="1"/>
  <c r="E13" i="26" s="1"/>
  <c r="AN16" i="26"/>
  <c r="AO16" i="26" s="1"/>
  <c r="U27" i="6"/>
  <c r="Y98" i="3"/>
  <c r="BF15" i="26" s="1"/>
  <c r="BG15" i="26" s="1"/>
  <c r="AA27" i="6"/>
  <c r="AZ16" i="26" s="1"/>
  <c r="BA16" i="26" s="1"/>
  <c r="BA13" i="26" s="1"/>
  <c r="H16" i="26"/>
  <c r="I16" i="26" s="1"/>
  <c r="I13" i="26" s="1"/>
  <c r="E27" i="6"/>
  <c r="F141" i="3"/>
  <c r="G141" i="3" s="1"/>
  <c r="Y73" i="3"/>
  <c r="Y75" i="3"/>
  <c r="Y81" i="3"/>
  <c r="X15" i="26" s="1"/>
  <c r="Y15" i="26" s="1"/>
  <c r="Y90" i="3"/>
  <c r="AP15" i="26" s="1"/>
  <c r="AQ15" i="26" s="1"/>
  <c r="Y88" i="3"/>
  <c r="Y76" i="3"/>
  <c r="Y78" i="3"/>
  <c r="Z78" i="3" s="1"/>
  <c r="R15" i="26" s="1"/>
  <c r="S13" i="26" s="1"/>
  <c r="Y79" i="3"/>
  <c r="T15" i="26" s="1"/>
  <c r="U13" i="26" s="1"/>
  <c r="Y77" i="3"/>
  <c r="Y84" i="3"/>
  <c r="Z84" i="3" s="1"/>
  <c r="AD15" i="26" s="1"/>
  <c r="AE15" i="26" s="1"/>
  <c r="Y92" i="3"/>
  <c r="AT15" i="26" s="1"/>
  <c r="AU15" i="26" s="1"/>
  <c r="Y86" i="3"/>
  <c r="AH15" i="26" s="1"/>
  <c r="AI15" i="26" s="1"/>
  <c r="Y93" i="3"/>
  <c r="Y100" i="3"/>
  <c r="BJ15" i="26" s="1"/>
  <c r="BK15" i="26" s="1"/>
  <c r="BK13" i="26" s="1"/>
  <c r="Y72" i="3"/>
  <c r="F15" i="26" s="1"/>
  <c r="G15" i="26" s="1"/>
  <c r="G13" i="26" s="1"/>
  <c r="Y74" i="3"/>
  <c r="Y83" i="3"/>
  <c r="Y95" i="3"/>
  <c r="Y85" i="3"/>
  <c r="Y97" i="3"/>
  <c r="Y87" i="3"/>
  <c r="Y99" i="3"/>
  <c r="Y89" i="3"/>
  <c r="AN15" i="26" s="1"/>
  <c r="AO15" i="26" s="1"/>
  <c r="Y94" i="3"/>
  <c r="Y71" i="3"/>
  <c r="Y82" i="3"/>
  <c r="Q13" i="26"/>
  <c r="M13" i="26"/>
  <c r="BM10" i="26"/>
  <c r="BC7" i="26"/>
  <c r="BC62" i="26" s="1"/>
  <c r="BE7" i="26"/>
  <c r="BG7" i="26"/>
  <c r="BG62" i="26" s="1"/>
  <c r="BM18" i="26"/>
  <c r="AY13" i="26"/>
  <c r="AK13" i="26"/>
  <c r="AG13" i="26"/>
  <c r="AC13" i="26"/>
  <c r="Y13" i="26"/>
  <c r="BM28" i="26"/>
  <c r="G36" i="26"/>
  <c r="BM39" i="26"/>
  <c r="AW12" i="13"/>
  <c r="AH16" i="13"/>
  <c r="AJ16" i="13"/>
  <c r="AK16" i="13" s="1"/>
  <c r="AK12" i="13" s="1"/>
  <c r="AL16" i="13"/>
  <c r="AM16" i="13" s="1"/>
  <c r="AM12" i="13" s="1"/>
  <c r="AQ16" i="13"/>
  <c r="AQ12" i="13" s="1"/>
  <c r="AQ17" i="13" s="1"/>
  <c r="AP8" i="26" s="1"/>
  <c r="AQ8" i="26" s="1"/>
  <c r="AN16" i="13"/>
  <c r="AO16" i="13" s="1"/>
  <c r="AO12" i="13" s="1"/>
  <c r="BA16" i="13"/>
  <c r="BA12" i="13" s="1"/>
  <c r="BA17" i="13" s="1"/>
  <c r="AZ8" i="26" s="1"/>
  <c r="BA8" i="26" s="1"/>
  <c r="BA7" i="26" s="1"/>
  <c r="BA62" i="26" s="1"/>
  <c r="AX16" i="13"/>
  <c r="AY16" i="13" s="1"/>
  <c r="AY12" i="13" s="1"/>
  <c r="Z16" i="13"/>
  <c r="AA16" i="13" s="1"/>
  <c r="AA12" i="13" s="1"/>
  <c r="AB16" i="13"/>
  <c r="AC16" i="13" s="1"/>
  <c r="AC12" i="13" s="1"/>
  <c r="V16" i="13"/>
  <c r="W16" i="13" s="1"/>
  <c r="W12" i="13" s="1"/>
  <c r="AD16" i="13"/>
  <c r="AE16" i="13" s="1"/>
  <c r="AE12" i="13" s="1"/>
  <c r="X16" i="13"/>
  <c r="Y16" i="13" s="1"/>
  <c r="Y12" i="13" s="1"/>
  <c r="AI16" i="13"/>
  <c r="AF16" i="13"/>
  <c r="AG16" i="13" s="1"/>
  <c r="AG12" i="13" s="1"/>
  <c r="AG17" i="13" s="1"/>
  <c r="AF8" i="26" s="1"/>
  <c r="AG8" i="26" s="1"/>
  <c r="AG7" i="26" s="1"/>
  <c r="BK17" i="13"/>
  <c r="BJ8" i="26" s="1"/>
  <c r="BK8" i="26" s="1"/>
  <c r="BK7" i="26" s="1"/>
  <c r="BI17" i="13"/>
  <c r="BH8" i="26" s="1"/>
  <c r="BI8" i="26" s="1"/>
  <c r="BI7" i="26" s="1"/>
  <c r="BI62" i="26" s="1"/>
  <c r="AW17" i="13"/>
  <c r="AV8" i="26" s="1"/>
  <c r="AW8" i="26" s="1"/>
  <c r="S12" i="13"/>
  <c r="U12" i="13"/>
  <c r="M12" i="13"/>
  <c r="O12" i="13"/>
  <c r="K12" i="13"/>
  <c r="S7" i="13"/>
  <c r="S17" i="13" s="1"/>
  <c r="R8" i="26" s="1"/>
  <c r="S7" i="26" s="1"/>
  <c r="S62" i="26" s="1"/>
  <c r="O7" i="13"/>
  <c r="M7" i="13"/>
  <c r="K7" i="13"/>
  <c r="Q12" i="13"/>
  <c r="Q7" i="13"/>
  <c r="U7" i="13"/>
  <c r="W7" i="13"/>
  <c r="AY7" i="13"/>
  <c r="AO7" i="13"/>
  <c r="AM7" i="13"/>
  <c r="AK7" i="13"/>
  <c r="AI12" i="13"/>
  <c r="AI7" i="13"/>
  <c r="AG7" i="13"/>
  <c r="AE7" i="13"/>
  <c r="AC7" i="13"/>
  <c r="AA7" i="13"/>
  <c r="Y7" i="13"/>
  <c r="I7" i="13"/>
  <c r="I17" i="13" s="1"/>
  <c r="H8" i="26" s="1"/>
  <c r="I8" i="26" s="1"/>
  <c r="I7" i="26" s="1"/>
  <c r="G12" i="13"/>
  <c r="G7" i="13"/>
  <c r="E12" i="13"/>
  <c r="E7" i="13"/>
  <c r="BI25" i="26"/>
  <c r="BC25" i="26"/>
  <c r="AI13" i="26"/>
  <c r="O13" i="26"/>
  <c r="AU25" i="26"/>
  <c r="BM36" i="26"/>
  <c r="U40" i="26"/>
  <c r="W40" i="26"/>
  <c r="O40" i="26"/>
  <c r="K40" i="26"/>
  <c r="I40" i="26"/>
  <c r="BM42" i="26"/>
  <c r="Y40" i="26"/>
  <c r="AM40" i="26"/>
  <c r="G40" i="26"/>
  <c r="E40" i="26"/>
  <c r="Q40" i="26" s="1"/>
  <c r="BC13" i="26" l="1"/>
  <c r="BI13" i="26"/>
  <c r="AO13" i="26"/>
  <c r="M17" i="13"/>
  <c r="L8" i="26" s="1"/>
  <c r="M7" i="26" s="1"/>
  <c r="M62" i="26" s="1"/>
  <c r="G17" i="13"/>
  <c r="F8" i="26" s="1"/>
  <c r="G8" i="26" s="1"/>
  <c r="G7" i="26" s="1"/>
  <c r="G62" i="26" s="1"/>
  <c r="AY17" i="13"/>
  <c r="AX8" i="26" s="1"/>
  <c r="AY8" i="26" s="1"/>
  <c r="AY7" i="26" s="1"/>
  <c r="AY62" i="26" s="1"/>
  <c r="AE17" i="13"/>
  <c r="AD8" i="26" s="1"/>
  <c r="AE8" i="26" s="1"/>
  <c r="AE7" i="26" s="1"/>
  <c r="AE62" i="26" s="1"/>
  <c r="AA17" i="13"/>
  <c r="Z8" i="26" s="1"/>
  <c r="AA8" i="26" s="1"/>
  <c r="W17" i="13"/>
  <c r="V8" i="26" s="1"/>
  <c r="W7" i="26" s="1"/>
  <c r="W62" i="26" s="1"/>
  <c r="Y17" i="13"/>
  <c r="X8" i="26" s="1"/>
  <c r="Y8" i="26" s="1"/>
  <c r="Y7" i="26" s="1"/>
  <c r="Y62" i="26" s="1"/>
  <c r="U17" i="13"/>
  <c r="T8" i="26" s="1"/>
  <c r="U7" i="26" s="1"/>
  <c r="U62" i="26" s="1"/>
  <c r="O17" i="13"/>
  <c r="N8" i="26" s="1"/>
  <c r="O7" i="26" s="1"/>
  <c r="O62" i="26" s="1"/>
  <c r="K17" i="13"/>
  <c r="J8" i="26" s="1"/>
  <c r="K8" i="26" s="1"/>
  <c r="K7" i="26" s="1"/>
  <c r="K62" i="26" s="1"/>
  <c r="Q17" i="13"/>
  <c r="P8" i="26" s="1"/>
  <c r="Q7" i="26" s="1"/>
  <c r="Q62" i="26" s="1"/>
  <c r="AO17" i="13"/>
  <c r="AN8" i="26" s="1"/>
  <c r="AO8" i="26" s="1"/>
  <c r="AO7" i="26" s="1"/>
  <c r="AM17" i="13"/>
  <c r="AL8" i="26" s="1"/>
  <c r="AM8" i="26" s="1"/>
  <c r="AM7" i="26" s="1"/>
  <c r="AM62" i="26" s="1"/>
  <c r="AK17" i="13"/>
  <c r="AJ8" i="26" s="1"/>
  <c r="AK8" i="26" s="1"/>
  <c r="AK7" i="26" s="1"/>
  <c r="AI17" i="13"/>
  <c r="AH8" i="26" s="1"/>
  <c r="AI8" i="26" s="1"/>
  <c r="AI7" i="26" s="1"/>
  <c r="AC17" i="13"/>
  <c r="AB8" i="26" s="1"/>
  <c r="AC8" i="26" s="1"/>
  <c r="AC7" i="26" s="1"/>
  <c r="I62" i="26"/>
  <c r="E17" i="13"/>
  <c r="BM13" i="26"/>
  <c r="BG25" i="26"/>
  <c r="BG13" i="26" s="1"/>
  <c r="AM13" i="26"/>
  <c r="AO40" i="26"/>
  <c r="BI40" i="26" s="1"/>
  <c r="AI40" i="26"/>
  <c r="BC40" i="26" s="1"/>
  <c r="AE40" i="26"/>
  <c r="AY40" i="26" s="1"/>
  <c r="M40" i="26"/>
  <c r="AC40" i="26"/>
  <c r="BG40" i="26"/>
  <c r="AA40" i="26"/>
  <c r="AK40" i="26"/>
  <c r="AA62" i="26" l="1"/>
  <c r="AC62" i="26"/>
  <c r="B21" i="13"/>
  <c r="D8" i="26"/>
  <c r="E8" i="26" s="1"/>
  <c r="BM7" i="26" s="1"/>
  <c r="AO62" i="26"/>
  <c r="BK40" i="26"/>
  <c r="BK62" i="26" s="1"/>
  <c r="AI62" i="26"/>
  <c r="BM40" i="26"/>
  <c r="AG40" i="26"/>
  <c r="AG62" i="26" s="1"/>
  <c r="AW40" i="26"/>
  <c r="BE40" i="26"/>
  <c r="BE62" i="26" s="1"/>
  <c r="AK62" i="26"/>
  <c r="E62" i="26" l="1"/>
  <c r="BA40" i="26"/>
  <c r="BM62" i="26" l="1"/>
  <c r="B78" i="26"/>
</calcChain>
</file>

<file path=xl/sharedStrings.xml><?xml version="1.0" encoding="utf-8"?>
<sst xmlns="http://schemas.openxmlformats.org/spreadsheetml/2006/main" count="3067" uniqueCount="739">
  <si>
    <t>Наименование показателя</t>
  </si>
  <si>
    <t>Единица измерения</t>
  </si>
  <si>
    <t>Вес группы в оценке/показателя в группе (в %)</t>
  </si>
  <si>
    <t>СД ЗГО</t>
  </si>
  <si>
    <t>Комментарий</t>
  </si>
  <si>
    <t>%</t>
  </si>
  <si>
    <t>шт.</t>
  </si>
  <si>
    <t>2. Исполнение бюджета в части расходов</t>
  </si>
  <si>
    <t>3. Исполнение бюджета по доходам</t>
  </si>
  <si>
    <t>5. Контроль и аудит</t>
  </si>
  <si>
    <t>6. Исполнение судебных актов</t>
  </si>
  <si>
    <t>Итоговое значение рейтинга</t>
  </si>
  <si>
    <t>Оценка</t>
  </si>
  <si>
    <t>Рейтинг</t>
  </si>
  <si>
    <t xml:space="preserve"> - **</t>
  </si>
  <si>
    <t xml:space="preserve"> +</t>
  </si>
  <si>
    <t>*</t>
  </si>
  <si>
    <t>СВЕДЕНИЯ</t>
  </si>
  <si>
    <t>(тыс. рублей)</t>
  </si>
  <si>
    <t>Код главного администратора доходов  бюджета</t>
  </si>
  <si>
    <t>Наименование главного администратора доходов  бюджета</t>
  </si>
  <si>
    <t>Кассовое исполнение за отчетный период</t>
  </si>
  <si>
    <t xml:space="preserve">                                    </t>
  </si>
  <si>
    <t>Приложение № 9</t>
  </si>
  <si>
    <t>о суммах, подлежащих взысканию по поступившим с начала</t>
  </si>
  <si>
    <r>
      <t xml:space="preserve">к главным распорядителям средств </t>
    </r>
    <r>
      <rPr>
        <b/>
        <sz val="14"/>
        <color indexed="10"/>
        <rFont val="Times New Roman"/>
        <family val="1"/>
        <charset val="204"/>
      </rPr>
      <t xml:space="preserve"> </t>
    </r>
    <r>
      <rPr>
        <b/>
        <sz val="14"/>
        <rFont val="Times New Roman"/>
        <family val="1"/>
        <charset val="204"/>
      </rPr>
      <t>(с учетом подведомственных учреждений),</t>
    </r>
  </si>
  <si>
    <t>тыс. рублей</t>
  </si>
  <si>
    <t>Итого</t>
  </si>
  <si>
    <t>Приложение № 8</t>
  </si>
  <si>
    <t xml:space="preserve">о приостановлении операций по расходованию средств на лицевых счетах,   </t>
  </si>
  <si>
    <t>глава по БК</t>
  </si>
  <si>
    <r>
      <t xml:space="preserve">                                                                                                                </t>
    </r>
    <r>
      <rPr>
        <sz val="9"/>
        <rFont val="Times New Roman"/>
        <family val="1"/>
        <charset val="204"/>
      </rPr>
      <t>(подпись)                                               (расшифровка подписи)</t>
    </r>
  </si>
  <si>
    <t/>
  </si>
  <si>
    <t>Код главы главного распорядителя средств</t>
  </si>
  <si>
    <t>Наименование главного распорядителя средств</t>
  </si>
  <si>
    <t xml:space="preserve">СВЕДЕНИЯ </t>
  </si>
  <si>
    <t>Кассовое исполнение расходов, тыс.руб.</t>
  </si>
  <si>
    <t>9 месяцев</t>
  </si>
  <si>
    <t>(расшифровка подписи)</t>
  </si>
  <si>
    <t>_____________________</t>
  </si>
  <si>
    <t>подпись</t>
  </si>
  <si>
    <r>
      <t xml:space="preserve">                                                                                                                </t>
    </r>
    <r>
      <rPr>
        <sz val="9"/>
        <rFont val="Times New Roman"/>
        <family val="1"/>
        <charset val="204"/>
      </rPr>
      <t>(подпись)                                                   (расшифровка подписи)</t>
    </r>
  </si>
  <si>
    <t>1. Бюджетное планирование</t>
  </si>
  <si>
    <t xml:space="preserve">3.1 Качество правовой базы главного администратора доходов  бюджета (далее – ГАДБ) по администрированию доходов </t>
  </si>
  <si>
    <t>3.2. Отклонение от планового объема налоговых и неналоговых доходов по ГАДБ</t>
  </si>
  <si>
    <t>3.3 Эффективность управления дебиторской задолженностью по расчетам с дебиторами по налоговым и неналоговым доходам</t>
  </si>
  <si>
    <t>Объем невыясненных поступлений</t>
  </si>
  <si>
    <t xml:space="preserve">Бюджетные ассигнования на конец отчетного периода,
тыс. рублей
</t>
  </si>
  <si>
    <t xml:space="preserve">в том числе
за счет целевых межбюджетных трансфертов
</t>
  </si>
  <si>
    <t>Всего</t>
  </si>
  <si>
    <t xml:space="preserve">Кассовое исполнение расходов,
тыс. рублей
</t>
  </si>
  <si>
    <t>в том числе за счет целевых межбюджетных трансфертов</t>
  </si>
  <si>
    <t>год</t>
  </si>
  <si>
    <t>всего</t>
  </si>
  <si>
    <t>1) состояние финансовой дисциплины;</t>
  </si>
  <si>
    <t>2) качество плана финансово-хозяйственной деятельности;</t>
  </si>
  <si>
    <t>3) степень выполнения плана финансово-хозяйственной деятельности за отчетный период;</t>
  </si>
  <si>
    <t>4) выполнение муниципального задания за отчетный период, в т. ч. по натуральным и стоимостным показателям;</t>
  </si>
  <si>
    <t>5) причины возникновения остатков по субсидиям на финансовое обеспечение выполнения муниципального задания на конец отчетного года;</t>
  </si>
  <si>
    <t>6) полноту, достоверность составления и своевременность представления отчетности (бухгалтерской, отчетов о результатах деятельности БУ и АУ и использовании закрепленного за учреждением имущества и т.д.);</t>
  </si>
  <si>
    <t>7) качество ведения учетной политики (и) или управленческого (аналитического) учета.</t>
  </si>
  <si>
    <t>Расчет Р1</t>
  </si>
  <si>
    <t>Расчет Р2</t>
  </si>
  <si>
    <t xml:space="preserve">Сведения </t>
  </si>
  <si>
    <t>N п/п</t>
  </si>
  <si>
    <t>Ед. изм</t>
  </si>
  <si>
    <t>Периодичность</t>
  </si>
  <si>
    <t>Наименование главного распорядителя бюджетных средств и значения показателей в разрезе соответствующего главного распорядителя бюджетных средств</t>
  </si>
  <si>
    <t>1.</t>
  </si>
  <si>
    <t>2.</t>
  </si>
  <si>
    <t>3.</t>
  </si>
  <si>
    <t>Количество дней отклонения даты регистрации сопроводительного письма руководителя (заместителя руководителя) ГРБС, к которому приложен фрагмент реестра расходных обязательств на очередной финансовый год и плановый период, в Финансовом управлении от даты представления фрагмента реестра расходных обязательств, установленной Финансовым управлением</t>
  </si>
  <si>
    <t>дни</t>
  </si>
  <si>
    <t>годовая</t>
  </si>
  <si>
    <t>4.</t>
  </si>
  <si>
    <t>шт</t>
  </si>
  <si>
    <t>5.</t>
  </si>
  <si>
    <t>6.</t>
  </si>
  <si>
    <t>Сумма объемов бюджетных ассигнований на очередной финансовый год  на реализацию расходных обязательств, по которым не указано хотя бы одно из полей, и (или) внесены в них изменения при проверке</t>
  </si>
  <si>
    <t>7.</t>
  </si>
  <si>
    <t>Общий объем расходов, предусмотренных ГРБС в проекте  бюджета на очередной финансовый год и плановый период</t>
  </si>
  <si>
    <t>8.</t>
  </si>
  <si>
    <t>Сумма объемов бюджетных ассигнований на очередной финансовый год на реализацию расходных обязательств, представленных во фрагменте реестра расходных обязательств на очередной финансовый год</t>
  </si>
  <si>
    <t>9.</t>
  </si>
  <si>
    <t>Сумма объемов бюджетных ассигнований на очередной финансовый год и плановый период на реализацию расходных обязательств, представленных во фрагменте реестра расходных обязательств на очередной финансовый год и плановый период</t>
  </si>
  <si>
    <t>Заместитель руководителя Финансового управления         _________        ____________________</t>
  </si>
  <si>
    <t>                                                                                                                               (подпись)                (расшифровка подписи) </t>
  </si>
  <si>
    <t xml:space="preserve">                                                                      </t>
  </si>
  <si>
    <t>                                     (должность)                     (подпись)                (расшифровка подписи)                      (телефон) </t>
  </si>
  <si>
    <t xml:space="preserve">                          </t>
  </si>
  <si>
    <t>_________________</t>
  </si>
  <si>
    <t>4. Учет и отчетность</t>
  </si>
  <si>
    <t xml:space="preserve">Целевым ориентиром для ГРБС является значение показателя, равное 100%.
Показатель рассчитывается ежегодно 
</t>
  </si>
  <si>
    <t xml:space="preserve">Качество финансового менеджмента напрямую зависит от качества подготовки реестров расходных обязательств и обоснований бюджетных ассигнований, используемых в целях планирования бюджетных ассигнований для реализации соответствующих полномочий ГРБС.
Показатель рассчитывается ежегодно
</t>
  </si>
  <si>
    <t>6.1. Иски о возмещении ущерба (в денежном выражении)</t>
  </si>
  <si>
    <t xml:space="preserve">Показатель характеризует работу ГРБС в области правовой защиты при предъявлении исков о возмещении ущерба от незаконных действий или бездействия ГРБС или его должностных лиц.  
Целевым ориентиром для ГРБС является значение показателя, меньшее или равное 50 %.
Показатель рассчитывается ежегодно
</t>
  </si>
  <si>
    <t>6.2. Иски о возмещении ущерба (в количественном выражении)</t>
  </si>
  <si>
    <t xml:space="preserve">Показатель характеризует работу ГРБС в области правовой защиты  при предъявлении исков о возмещении ущерба от незаконных действий или бездействия ГРБС или его должностных лиц. 
Целевым ориентиром для ГРБС является значение показателя, меньшее или равное 50%.
Показатель рассчитывается ежегодно
</t>
  </si>
  <si>
    <t>6.3. Иски о взыскании задолженности (в денежном выражении)</t>
  </si>
  <si>
    <t xml:space="preserve">Показатель характеризует работу ГРБС в области правовой защиты  по искам к ГРБС, предъявленным в порядке субсидиарной ответственности по денежным обязательствам. 
Целевым ориентиром для ГРБС является значение показателя, меньшее или равное 50%.
Показатель рассчитывается ежегодно
</t>
  </si>
  <si>
    <t>6.4. Иски о взыскании задолженности (в количественном выражении)</t>
  </si>
  <si>
    <t xml:space="preserve">Показатель характеризует работу ГРБС в области правовой защиты  по искам к ГРБС, предъявленным в порядке субсидиарной ответственности по денежным обязательствам подведомственных ему получателей бюджетных средств. 
Целевым ориентиром для ГРБС является значение показателя, меньшее или равное 50%.
Показатель рассчитывается ежегодно
</t>
  </si>
  <si>
    <t>6.5. Иски по денежным обязательствам получателей средств  бюджета (в денежном выражении)</t>
  </si>
  <si>
    <t xml:space="preserve">Показатель характеризует работу получателей средств бюджета, подведомственных ГРБС, в области правовой защиты  при предъявлении исков о взыскании с участников бюджетного процесса, подведомственных ГРБС, по принятым ими как получателями бюджетных средств денежным обязательствам. 
Целевым ориентиром для ГРБС является значение показателя, меньшее или равное 50%.
Показатель рассчитывается ежегодно
</t>
  </si>
  <si>
    <t>6.6. Иски по денежным обязательствам получателей средств бюджета (в количественном выражении)</t>
  </si>
  <si>
    <t xml:space="preserve">Показатель характеризует работу участников бюджетного процесса, подведомственных ГРБС, в области правовой защиты  при предъявлении исков о взыскании с участников бюджетного процесса, подведомственных ГРБС, по принятым ими как получателями бюджетных средств денежным обязательствам. 
Целевым ориентиром для ГРБС является значение показателя, меньшее или равное 50%.
Показатель рассчитывается ежегодно
</t>
  </si>
  <si>
    <t>Периодичность: годовая</t>
  </si>
  <si>
    <t xml:space="preserve">Главный распорядитель средств  </t>
  </si>
  <si>
    <t xml:space="preserve">            наименование </t>
  </si>
  <si>
    <t>наименование</t>
  </si>
  <si>
    <t>расчет показателя</t>
  </si>
  <si>
    <t xml:space="preserve">3.1. Качество правовой базы главного администратора доходов  бюджета по администрированию доходов </t>
  </si>
  <si>
    <t>Расчет Р2.3.</t>
  </si>
  <si>
    <t>Расчет Р2.4.</t>
  </si>
  <si>
    <t>Расчет Р2.5.</t>
  </si>
  <si>
    <t>Расчет Р2.6.</t>
  </si>
  <si>
    <t>1. Реестр расходных обязательств</t>
  </si>
  <si>
    <t>1.1. Своевременность представления фрагмента реестра расходных обязательств</t>
  </si>
  <si>
    <t>1.2. Полнота и корректность общей информации о расходных обязательствах</t>
  </si>
  <si>
    <t>1.3. Полнота и корректность общей информации о расходных обязательствах (в денежном выражении)</t>
  </si>
  <si>
    <t>1.4. Полнота отражения во фрагменте реестра расходных обязательств ГРБС бюджетных ассигнований, предусмотренных ГРБС в проекте бюджета на очередной финансовый год и плановый период</t>
  </si>
  <si>
    <t>2.1. Охват в обоснованиях бюджетных ассигнований на очередной финансовый год и плановый период  сумм ассигнований, доведенных Финансовым управлением в качестве предельных объемов в ходе составления проекта бюджета на очередной финансовый год и плановый период</t>
  </si>
  <si>
    <t>2.2. Охват в обоснованиях бюджетных ассигнований на очередной финансовый год и плановый период показателями непосредственных результатов (пояснительными записками) сумм ассигнований, доведенных Финансовым управлением в качестве предельных объемов в ходе составления проекта бюджета на очередной финансовый год и плановый период</t>
  </si>
  <si>
    <t>дней</t>
  </si>
  <si>
    <t xml:space="preserve">Положительное значение показателя свидетельствует о несоблюдении сроков представления фрагмента реестра расходных обязательств ГРБС, установленных Финансовым управлением. 
Целевым ориентиром является значение показателя, равное нулю.
</t>
  </si>
  <si>
    <t xml:space="preserve">Значение показателя характеризует, насколько полно ГРБС отражена информация о расходных обязательствах, подлежащих исполнению в очередном финансовом году и плановом периоде.
Целевым ориентиром для ГРБС является значение показателя, равное 100%. 
</t>
  </si>
  <si>
    <t>Значение показателя характеризует долю направлений расходов (в денежном выражении) основания по которым не указаны. Целевым ориентиром для ГРБС является значение показателя, равное 0.</t>
  </si>
  <si>
    <t xml:space="preserve">Значение показателя характеризует, насколько полно ГРБС распределил в обоснованиях бюджетных ассигнований на очередной финансовый год и плановый период объемы бюджетных ассигнований, доведенные до него Финансовым управлением при составлении проекта бюджета на очередной финансовый год и плановый период. 
Целевым ориентиром для ГРБС является значение показателя, равное 100%.
</t>
  </si>
  <si>
    <t>отклонение</t>
  </si>
  <si>
    <t>Бюджетные ассигнования на конец отчетного периода,
тыс. рублей</t>
  </si>
  <si>
    <t>** - отсутствуют бюдждетные ассигнования за счет межбюджетных целевых трансфертов, соответственно и исполнение расходов за счет целевых межбюджетных трансфертов</t>
  </si>
  <si>
    <t>средний балл</t>
  </si>
  <si>
    <t>Средний балл</t>
  </si>
  <si>
    <r>
      <t>1.1. Регулирование и внедрение главным распорядителем средств бюджета (далее – ГРБС) процедур планирования расходов бюджета на очередной финансовый год и плановый период</t>
    </r>
    <r>
      <rPr>
        <vertAlign val="superscript"/>
        <sz val="15"/>
        <rFont val="Times New Roman"/>
        <family val="1"/>
        <charset val="204"/>
      </rPr>
      <t>1</t>
    </r>
  </si>
  <si>
    <t>1 - В случае формирования проекта бюджета на один год показатель рассчитывается  только на очередной финансовый год</t>
  </si>
  <si>
    <t xml:space="preserve">6.7. Приостановление операций по расходованию средств на лицевых счетах подведомственных ГРБС получателей средств  бюджета, БУ и АУ  </t>
  </si>
  <si>
    <t>6.8. Сумма, подлежащая взысканию по исполнительным документам, решениям налогового органа о взыскании налога, сбора, пеней и штрафов</t>
  </si>
  <si>
    <t xml:space="preserve">Свод сведений, предоставленных ГРБС о нормативных правовых актах в области финансового менеджмента и о суммах бюджетных ассигнований на финансовое обеспечение муниципальных программ </t>
  </si>
  <si>
    <t>открытых в Финансовом управлении, получателей средств</t>
  </si>
  <si>
    <t xml:space="preserve"> бюджета, также муниципальных бюджетных и автономных учреждений в связи с нарушением процедур исполнения судебных актов</t>
  </si>
  <si>
    <t xml:space="preserve">предъявлением решений налогового органа о взыскании налога, сбора, пеней и штрафов </t>
  </si>
  <si>
    <t>Главный распорядитель средств  бюджета (учредитель)</t>
  </si>
  <si>
    <t>Количество направленных Финансовым управлением уведомлений о приостановлении операций по расходованию средств в отчетном периоде, штук</t>
  </si>
  <si>
    <t>Количество направленных Финансовым управлением уведомлений о приостановлении операций по расходованию средств муниципальных бюджетных и автономных учреждений в отчетном периоде, штук</t>
  </si>
  <si>
    <t xml:space="preserve">Наименование </t>
  </si>
  <si>
    <t>финансового года исполнительным документам, решениям налогового органа о взыскании налога, сбора, пеней и штрафов, предъявляемым</t>
  </si>
  <si>
    <t>и к муниципальным бюджетным и автономным учреждениям</t>
  </si>
  <si>
    <t xml:space="preserve">Сумма, подлежащая взысканию по поступившим с начала финансового года исполнительным документам, решениям налогового органа о взыскании налога, сбора, пеней и штрафов за счет средств
муниципальных бюджетных и автономных учреждений,
тыс. рублей
</t>
  </si>
  <si>
    <t>Показатели мониторинга качества финансового менеджмента, осуществляемого главным распорядителем средств, в части документов, используемых при составлении проекта решения о бюджете на очередной финансовый год и плановый период*</t>
  </si>
  <si>
    <t>* В случае формирования проекта бюджета на один год для расчетов показателей учитываются сведения о планируемых расходах главных распорядителей средств только очередного финансового года</t>
  </si>
  <si>
    <t>о планируемых расходах главных распорядителей средств на очередной финансовый год и плановый период*</t>
  </si>
  <si>
    <t>о предоставлении годовой бюджетной и бухгалтерской отчетности</t>
  </si>
  <si>
    <t xml:space="preserve">Соблюдение сроков предоставления годовой бюджетной отчетности и бухгалтерской отчетности муниципальных учреждений, установленных приказом Финансового управления
(да/нет)
</t>
  </si>
  <si>
    <t xml:space="preserve">Количество изменений  форм годовой бюджетной отчетности и бухгалтерской отчетности муниципальных учреждений в период формирования сводной бюджетной отчетности  
(суммарно)
</t>
  </si>
  <si>
    <t xml:space="preserve">                               (должность)                                  (подпись)                    (расшифровка подписи)         (телефон)</t>
  </si>
  <si>
    <t xml:space="preserve">Приложение  3.1 </t>
  </si>
  <si>
    <t>об исполнении расходов муниципальных бюджетных и автономных учреждений в разрезе учредителей</t>
  </si>
  <si>
    <t>Наименование учредителя</t>
  </si>
  <si>
    <t>№ п/п</t>
  </si>
  <si>
    <t>Наименование ГРБС</t>
  </si>
  <si>
    <t>несоблюдение нормативов формирования фонда оплаты труда депутатов, выборных должностных лиц местного самоуправления, осуществляющих свои полномочия на постоянной основе, и муниципальных служащих (да/нет)</t>
  </si>
  <si>
    <t>принятие бюджетных обязательств главным распорядителем средств сверх утвержденных лимитов в объеме, превышающем 1 % фактических расходов соответствующего главного распорядителя средств в отчетном финансовом году (да/нет)</t>
  </si>
  <si>
    <t>_________________________</t>
  </si>
  <si>
    <t>Факты, влияющие на снижение степени качества финансового менеджмента</t>
  </si>
  <si>
    <t>Факты</t>
  </si>
  <si>
    <t>Количество форм годовой бюджетной отчетности и бухгалтерской отчетности муниципальных учреждений в период формирования сводной бюджетной отчетности  
(суммарно)</t>
  </si>
  <si>
    <t>да</t>
  </si>
  <si>
    <t>D = 0 и D(отч.) ≥ 0</t>
  </si>
  <si>
    <t>Код ГРБС</t>
  </si>
  <si>
    <t>кассовое исполнение по приложениям 3 и 3.1</t>
  </si>
  <si>
    <t>Р≤2%</t>
  </si>
  <si>
    <t>ИТОГО</t>
  </si>
  <si>
    <t>Критерий оценки</t>
  </si>
  <si>
    <t xml:space="preserve">Позитивно расценивается уменьшение объема остатков на лицевых счетах бюджетных, автономных учреждений.
Показатель рассчитывается ежегодно
</t>
  </si>
  <si>
    <t xml:space="preserve">Исполнитель   </t>
  </si>
  <si>
    <t>Исполнение расходов муниципальных бюджетных и автономных учреждений, тыс. рублей</t>
  </si>
  <si>
    <t>Доведенные лимиты бюджетных обязательств на поставку товаров, оказание услуг, выполнение работ для муниципальных нужд, тыс. рублей</t>
  </si>
  <si>
    <t>Количество отказов по заявкам на оплату расходов в отчетном периоде (шт.)</t>
  </si>
  <si>
    <t>Общее количество заявок на оплату расходов ГРБС (шт.)</t>
  </si>
  <si>
    <t>Объем принятых бюджетных обязательств на поставку товаров, оказание услуг, выполнение работ для муниципальных нужд ГРБС и подведомственных казенных учреждений (тыс. рублей)</t>
  </si>
  <si>
    <t xml:space="preserve">Исполнитель            </t>
  </si>
  <si>
    <t>рублей</t>
  </si>
  <si>
    <t xml:space="preserve"> тыс. рублей</t>
  </si>
  <si>
    <t>критерий оценки</t>
  </si>
  <si>
    <t>Р &gt; 2%</t>
  </si>
  <si>
    <t>Оценка показателя 3.2.</t>
  </si>
  <si>
    <r>
      <t xml:space="preserve">Кассовое исполнение за отчетный период </t>
    </r>
    <r>
      <rPr>
        <b/>
        <sz val="10"/>
        <rFont val="Times New Roman"/>
        <family val="1"/>
        <charset val="204"/>
      </rPr>
      <t>Rf</t>
    </r>
    <r>
      <rPr>
        <sz val="10"/>
        <rFont val="Times New Roman"/>
        <family val="1"/>
        <charset val="204"/>
      </rPr>
      <t xml:space="preserve"> </t>
    </r>
  </si>
  <si>
    <t>Р ≥ 99%</t>
  </si>
  <si>
    <t>Степень качества</t>
  </si>
  <si>
    <t xml:space="preserve">                                              (должность)                                  (подпись)                                 (расшифровка подписи)                          (телефон)</t>
  </si>
  <si>
    <t>Приложение № 16</t>
  </si>
  <si>
    <t>Общая сумма выявленных нарушений на отчетную дату (тыс. рублей)</t>
  </si>
  <si>
    <t>Общий объем проверяемых средств и стоимости проверяемого имущества на отчетную дату (тыс. рублей)</t>
  </si>
  <si>
    <r>
      <t xml:space="preserve">                                                                                                             </t>
    </r>
    <r>
      <rPr>
        <sz val="9"/>
        <rFont val="Times New Roman"/>
        <family val="1"/>
        <charset val="204"/>
      </rPr>
      <t>(подпись)                                                   (расшифровка подписи)</t>
    </r>
  </si>
  <si>
    <t>Исполнитель</t>
  </si>
  <si>
    <t xml:space="preserve">                                                                                (подпись)                                                 (расшифровка подписи)</t>
  </si>
  <si>
    <t>тыс. руб.</t>
  </si>
  <si>
    <t>Исполнитель ___________________________      ___________                     _____________                  622064</t>
  </si>
  <si>
    <t>Количество внесенных изменений главными распорядителями средств в план-график (единиц)</t>
  </si>
  <si>
    <t>Главный распорядитель средств  (учредитель)</t>
  </si>
  <si>
    <t>Расходы на содержание органов местного самоуправления (без учета субвенции), тыс. рублей</t>
  </si>
  <si>
    <t xml:space="preserve">Кассовое исполнение расходов за счет целевых межбюджетных трансфертов , тыс.руб. </t>
  </si>
  <si>
    <t>Р≤ среднего значения (без учета max и min значения)</t>
  </si>
  <si>
    <t>Р&gt;среднего значения (без учета max и min значения)</t>
  </si>
  <si>
    <t>7. Использование инструментов повышения эффективности бюджетных расходов</t>
  </si>
  <si>
    <t>7.1. Доля бюджетных ассигнований, представленных в программном виде</t>
  </si>
  <si>
    <t>7.2. Доля бюджетных ассигнований, представленных в программном виде (без учета субвенции на реализацию передаваемых полномочий субъекта РФ, полномочий РФ)</t>
  </si>
  <si>
    <t>7.3.Доля  казенных учреждений, для которых установлены муниципальные задания, в общем числе казенных учреждений (без учета органов местного самоуправления)</t>
  </si>
  <si>
    <t>7.5.Прирост объема доходов бюджетных учреждений и автономных учреждений от приносящей доход деятельности</t>
  </si>
  <si>
    <t>Р - Количество внесенных изменений ГРБС в план-график</t>
  </si>
  <si>
    <t>Расчет показателя</t>
  </si>
  <si>
    <t>+</t>
  </si>
  <si>
    <r>
      <t>Расчет показателя 3.3. "Эффектвность управления дебиторской задолженностью по расчетам с дебиторами по налоговым и неналоговым доходам"</t>
    </r>
    <r>
      <rPr>
        <b/>
        <sz val="16"/>
        <rFont val="Arial Cyr"/>
        <charset val="204"/>
      </rPr>
      <t>*</t>
    </r>
  </si>
  <si>
    <t xml:space="preserve">Целевым ориентиром для ГРБС является значение показателя, равное 0%. Показатель рассчитывается ежегодно </t>
  </si>
  <si>
    <t>Rf  &gt; 0 и Rp= 0</t>
  </si>
  <si>
    <t xml:space="preserve">P &gt; 15% </t>
  </si>
  <si>
    <t>____________</t>
  </si>
  <si>
    <t>7.8. Качество управления деятельностью бюджетных и автономных учреждений (далее - БУ и АУ)</t>
  </si>
  <si>
    <t>нет</t>
  </si>
  <si>
    <t>Утвержденный кассовый план на отчетный период, тыс. рублей (за счет средств местного бюджета без учета расходов за счет средств дотации по отдельным распоряжениям Правительства Челябинской области)</t>
  </si>
  <si>
    <t>в том числе за счет средств дотации по  отдельным распоряжениям Правительства Челябинской области</t>
  </si>
  <si>
    <r>
      <t xml:space="preserve">Первоначально утвержденный годовой плановый объем налоговых и неналоговых доходов бюджета (для годового мониторинга) </t>
    </r>
    <r>
      <rPr>
        <b/>
        <sz val="10"/>
        <rFont val="Times New Roman"/>
        <family val="1"/>
        <charset val="204"/>
      </rPr>
      <t>Rp</t>
    </r>
  </si>
  <si>
    <t>* - В случае формирования проекта бюджета на один год предоставляются сведения о планируемых расходах главных распорядителей средств только очередной финансовый год</t>
  </si>
  <si>
    <t>о казначейских уведомлениях, направленных</t>
  </si>
  <si>
    <t>Единица измерения: единиц</t>
  </si>
  <si>
    <t>Количество казначейских уведомлений на сумму текущих изменений  ПОФ на отчетную дату</t>
  </si>
  <si>
    <t>2.3. Охват предварительных проектировок бюджетных ассигнований на очередной финансовый год и плановый период проектировками предельных объемов бюджетных ассигнований на очередной финансовый год и плановый период, доведенных Финансовым управлением в ходе составления проекта бюджета на очередной финансовый год и плановый период</t>
  </si>
  <si>
    <t>оценка показателя 2.4.</t>
  </si>
  <si>
    <t>без учета мбт</t>
  </si>
  <si>
    <t>среднее значение БА без МБТ</t>
  </si>
  <si>
    <t>Расчет Р2.7.</t>
  </si>
  <si>
    <t>2.1. Доля неисполненных на конец отчетного финансового года бюджетных ассигнований за счет целевых межбюджетных трансфертов, предоставляемых местным бюджетам в пределах сумм, необходимых для оплаты денежных обязательств по расходам получателей средств местного бюджета</t>
  </si>
  <si>
    <t>2.2. Равномерность расходов (без учета расходов за счет средств целевых поступлений из федерального бюджета и областного бюджета, дотации по отдельным распоряжениям Правительства Челябинской области)</t>
  </si>
  <si>
    <t>5.3. Динамика объема материальных запасов</t>
  </si>
  <si>
    <t>Расчет 5.3.</t>
  </si>
  <si>
    <t>5.1.Качество организации внутреннего финансового аудита ГРБС</t>
  </si>
  <si>
    <t>2.9. Динамика доли расходов на содержание органов местного самоуправления в объеме собственных доходов</t>
  </si>
  <si>
    <t>Р&lt; 99%</t>
  </si>
  <si>
    <t>2.11. Принятие бюджетных обязательств</t>
  </si>
  <si>
    <t>2.12. Качество планирования закупок</t>
  </si>
  <si>
    <t>2.13.  Качество планирования предельных объемов финан-сирования</t>
  </si>
  <si>
    <t>среднее значение (без учета max и min значения)</t>
  </si>
  <si>
    <t>Показатель 2.9. Динамика доли расходов на содержание органов местного самоуправления в объеме собственных доходов</t>
  </si>
  <si>
    <t xml:space="preserve">4.1.Представление
качественной годовой
бюджетной отчетности  и бухгалтерской отчетности муниципальных учреждений в установленные сроки
</t>
  </si>
  <si>
    <t>4.2. Применение муниципальными учреждениями программных комплексов по автоматизации бюджетного и бухгалтерского учета</t>
  </si>
  <si>
    <t>Показатель 5.2.</t>
  </si>
  <si>
    <t>7.9. Качество финансового менеджмента, осуществляемого ГРБС</t>
  </si>
  <si>
    <t>7.11. Наличие неиспользованных на конец отчетного периода остатков средств бюджета на лицевых счетах бюджетных, автономных учреждений</t>
  </si>
  <si>
    <t>Позитивно расценивается наличие порядка, обеспечивающего проведение мониторинга качества финансового менеджмента подведомственных казенных учреждений и результатов проведенного мониторинга, а также их размещение на официальном сайте ГРБС. Индикатор рассчитывается ежегодно</t>
  </si>
  <si>
    <t xml:space="preserve">Целевым ориентиром для ГРБС является значение показателя, равное 100%.
Показатель рассчитывается ежегодно
</t>
  </si>
  <si>
    <t>5.1. Качество организации внутреннего финансового аудита ГРБС</t>
  </si>
  <si>
    <t>2.10. Доля не принятых к исполнению заявок на оплату расходов при санкционировании оплаты денежных обязательств ГРБС</t>
  </si>
  <si>
    <t>7.12. Эффективность реализации муниципальных программ</t>
  </si>
  <si>
    <t xml:space="preserve">Позитивно расценивается реализация эффективных муниципальных программ.
Показатель рассчитывается ежегодно
</t>
  </si>
  <si>
    <r>
      <t xml:space="preserve">                                                                                                    </t>
    </r>
    <r>
      <rPr>
        <sz val="9"/>
        <rFont val="Times New Roman"/>
        <family val="1"/>
        <charset val="204"/>
      </rPr>
      <t>(подпись)                    (расшифровка подписи)</t>
    </r>
  </si>
  <si>
    <t xml:space="preserve">                  </t>
  </si>
  <si>
    <t>                                                                                                                       (подпись)                        (расшифровка подписи) </t>
  </si>
  <si>
    <t>Наличие документа о назначении уполномоченных  должностных лиц по внутреннему финансовому аудиту, либо о создании структурного подразделения с наделением полномочиями по  осуществлению внутреннего финансового аудита на основе функциональной независимости либо об упрощенном осуществлении внутреннего финансового аудита</t>
  </si>
  <si>
    <t>усл.ед.</t>
  </si>
  <si>
    <t>ед.</t>
  </si>
  <si>
    <t xml:space="preserve">   должность</t>
  </si>
  <si>
    <t xml:space="preserve">                                      (должность)                                                                       (подпись)          (расшифровка  подписи)                                  </t>
  </si>
  <si>
    <r>
      <t xml:space="preserve">P  </t>
    </r>
    <r>
      <rPr>
        <sz val="12"/>
        <rFont val="Calibri"/>
        <family val="2"/>
        <charset val="204"/>
      </rPr>
      <t>≤</t>
    </r>
    <r>
      <rPr>
        <sz val="12"/>
        <rFont val="Times New Roman"/>
        <family val="1"/>
        <charset val="204"/>
      </rPr>
      <t xml:space="preserve"> 15%</t>
    </r>
  </si>
  <si>
    <t>**** - муниципальные услуги не предоставляются</t>
  </si>
  <si>
    <t>*****</t>
  </si>
  <si>
    <t>***** - отсутствуют муниципальные программы</t>
  </si>
  <si>
    <t>2 - применяется с 1 января 2025 года, начиная с проведения оценки за 2024 год, в связи с чем веса показателей 1.1.,1.2.,1.3., 1.4. пропорционально пересчитались</t>
  </si>
  <si>
    <t xml:space="preserve">Негативно расценивается для ГАДБ формирование утверждённого объёма  администрируемых  налоговых и неналоговых доходов на очередной финансовый год, как превышающего, так и значительно сниженного от объёма соответствующего года при его утверждении на первый год планового периода в году, предшествующему отчётному году . 
Показатель анализируется для ГАДБ по налоговым и неналоговым доходам. 
Целевым ориентиром для ГАДБ является значение показателя, не превосходящее  15 %.
Показатель рассчитывается ежегодно
</t>
  </si>
  <si>
    <t>Администрация Катав-Ивановского муниципального района</t>
  </si>
  <si>
    <t>Управление культуры администрации Катав-Ивановского муниципального района</t>
  </si>
  <si>
    <t>Администрация Катав-Ивановского городского поселения</t>
  </si>
  <si>
    <t>Администрация Юрюзанского городского поселения</t>
  </si>
  <si>
    <t>Администрация Тюлюкского сельского поселения Катав-Ивановского муниципального района</t>
  </si>
  <si>
    <t>Администрация Орловского сельского поселения Катав-Ивановского муниципального района</t>
  </si>
  <si>
    <t>Совет депутатов Катав-Ивановского городского поселения</t>
  </si>
  <si>
    <t>Управление ГИИ</t>
  </si>
  <si>
    <t>Администрация Бедярышского сельского поселения Катав-Ивановского муниципального района</t>
  </si>
  <si>
    <t>Администрация Верх-Катавского сельского поселения Катав-Ивановского муниципального района</t>
  </si>
  <si>
    <t>Администрация Лесного сельского поселения Катав-Ивановского муниципального района</t>
  </si>
  <si>
    <t>Администрация Месединского сельского поселения Катав-Ивановского муниципального района</t>
  </si>
  <si>
    <t>Администрация Серпиевского сельского поселения Катав-Ивановского муниципального района</t>
  </si>
  <si>
    <t>МКУ «Центр помощи детям» Катав-Ивановского района</t>
  </si>
  <si>
    <t>Собрание депутатов Катав-Ивановского муниципального района</t>
  </si>
  <si>
    <t>МУ "Центр"</t>
  </si>
  <si>
    <t xml:space="preserve">Доходы Катав-ивановского муниципального района (без учета субвенции) в отчетном финансовом году - </t>
  </si>
  <si>
    <r>
      <t xml:space="preserve">Доходы Катав-ивановского муниципального района (без учета субвенции) в году, предшествующем отчетному году - </t>
    </r>
    <r>
      <rPr>
        <u/>
        <sz val="11"/>
        <rFont val="Times New Roman"/>
        <family val="1"/>
        <charset val="204"/>
      </rPr>
      <t xml:space="preserve"> </t>
    </r>
  </si>
  <si>
    <t xml:space="preserve">"КСП Катав-Ивановского муниципального района" </t>
  </si>
  <si>
    <t>об исполнении расходов в разрезе главных распорядителей средств бюджета Катав-Ивановского муниципального района</t>
  </si>
  <si>
    <t xml:space="preserve">Заместитель начальника Финансового управления   </t>
  </si>
  <si>
    <t>И. С. Воронова</t>
  </si>
  <si>
    <t>ОУИЗО</t>
  </si>
  <si>
    <t>ФИНАНСОВОЕ УПРАВЛЕНИЕ АК-ИВМР</t>
  </si>
  <si>
    <t xml:space="preserve">КИО Администрации Катав-Ивановского муниципального района </t>
  </si>
  <si>
    <t>МКУ "СКС"</t>
  </si>
  <si>
    <t>МКУК "ЦБС"</t>
  </si>
  <si>
    <t xml:space="preserve">МКУ "КГХ" </t>
  </si>
  <si>
    <t>МКУ "Культура"</t>
  </si>
  <si>
    <t xml:space="preserve">УКХ, ТиС </t>
  </si>
  <si>
    <t xml:space="preserve">Управление образования </t>
  </si>
  <si>
    <t xml:space="preserve">УСЗН Администрации Катав-Ивановского муниципального района </t>
  </si>
  <si>
    <t xml:space="preserve">УФКИС АДМИНИСТРАЦИИ КИМР </t>
  </si>
  <si>
    <t xml:space="preserve">ОИО Катав-Ивановского городского поселения </t>
  </si>
  <si>
    <t xml:space="preserve">начальник отдела                                                   </t>
  </si>
  <si>
    <r>
      <t xml:space="preserve">                           </t>
    </r>
    <r>
      <rPr>
        <sz val="9"/>
        <rFont val="Times New Roman"/>
        <family val="1"/>
        <charset val="204"/>
      </rPr>
      <t>(должность)                                      (подпись)                (расшифровка подписи)           (телефон) </t>
    </r>
  </si>
  <si>
    <t>О.В. Рыжова</t>
  </si>
  <si>
    <r>
      <t xml:space="preserve">Исполнители: </t>
    </r>
    <r>
      <rPr>
        <u/>
        <sz val="10"/>
        <rFont val="Times New Roman"/>
        <family val="1"/>
        <charset val="204"/>
      </rPr>
      <t>начальник отдела финансовых ресурсов</t>
    </r>
  </si>
  <si>
    <t>начальник бюджетного отдела</t>
  </si>
  <si>
    <t>М.А. Тараканова</t>
  </si>
  <si>
    <t>Р, %</t>
  </si>
  <si>
    <t xml:space="preserve">Заместитель начальника Финансового управления  _______________    </t>
  </si>
  <si>
    <t>И.С. Воронова</t>
  </si>
  <si>
    <t xml:space="preserve">                                                                   (должность)                            (подпись)                          (расшифровка  подписи)                   </t>
  </si>
  <si>
    <t xml:space="preserve">Исполнитель       старший юрисконсульт                   ________________                 А.Ю. Бисярина                  2-16-81    </t>
  </si>
  <si>
    <t xml:space="preserve">                                                                                            ________________________                  И.С. Воронова</t>
  </si>
  <si>
    <t xml:space="preserve">Исполнитель  старший юрисконсульт                        ________________                               А.Ю. Бисярина                  2-16-81 </t>
  </si>
  <si>
    <t xml:space="preserve">                                                                                                   ________________________                       И.С. Воронова</t>
  </si>
  <si>
    <t>Заместитель начальника Финансового управления</t>
  </si>
  <si>
    <t>Р&gt;2%, Е=0                         Р≤2%, Е=1-(Р/2)</t>
  </si>
  <si>
    <t>Оценка,                  Е</t>
  </si>
  <si>
    <t>Управление образования</t>
  </si>
  <si>
    <t xml:space="preserve">Совет депутатов Юрюзанского городского поселения </t>
  </si>
  <si>
    <t xml:space="preserve"> Финансовым управлением администрации Катав-Ивановского муниципального района Челябинской области</t>
  </si>
  <si>
    <t>Оценка, E</t>
  </si>
  <si>
    <r>
      <rPr>
        <b/>
        <sz val="10"/>
        <rFont val="Times New Roman"/>
        <family val="1"/>
        <charset val="204"/>
      </rPr>
      <t>Критерий оценки</t>
    </r>
    <r>
      <rPr>
        <sz val="10"/>
        <rFont val="Times New Roman"/>
        <family val="1"/>
        <charset val="204"/>
      </rPr>
      <t xml:space="preserve">                     Р&gt;среднего значения (без учета max и min значения) E=0                 Р≤ среднего значения (без учета max и min значения) E=1</t>
    </r>
  </si>
  <si>
    <t>из формулы вычесть  max и min значения</t>
  </si>
  <si>
    <t>Заместитель начальника Финансового управления ______________        И.С. Воронова</t>
  </si>
  <si>
    <t>Исполнитель:                               ______________________                   О.В.Рыжова    2-16-81</t>
  </si>
  <si>
    <t>критерий оценки показателя 2.13</t>
  </si>
  <si>
    <t>Оценка             если Р≤ среднего значения (без учета max и min значения), то Е=1     если Р&gt;среднего значения (без учета max и min значения), то Е=0</t>
  </si>
  <si>
    <t xml:space="preserve">о выявленных нарушениях Контрольно-счетной палатой </t>
  </si>
  <si>
    <t xml:space="preserve"> Катав-Ивановского муниципального района</t>
  </si>
  <si>
    <t>Руководитель Контрольно-ревизионного управления             ________________________                __Харрасов В.Р.______</t>
  </si>
  <si>
    <t>Р&gt;2%</t>
  </si>
  <si>
    <t>в т.ч за счет субвенций на реализацию передаваемых полномочий</t>
  </si>
  <si>
    <t> Подпрограмма "Укрепление материально-технической базы, ремонт учреждений подведомственных Управления культуры Катав-Ивановского муниципального района "</t>
  </si>
  <si>
    <t> Подпрограмма "Развитие и сохранение историко-культурного наследия в Катав-Ивановском муниципальном районе "</t>
  </si>
  <si>
    <t>Подпрограмма "Развитие системы художественного образования, выявление и поддержка молодых дарований "</t>
  </si>
  <si>
    <t>Подпрограмма "Обеспечение доступности информационных ресурсов населению Катав-Ивановского района через библиотечное обслуживание "</t>
  </si>
  <si>
    <t>Подпрограмма "Сохранение традиционного художественного творчества, национальных культур и развития культурно-досуговой деятельности "</t>
  </si>
  <si>
    <t>Муниципальная программа "Повышение эффективности мер по социальной защите и поддержке населения Катав-Ивановского муниципального района "</t>
  </si>
  <si>
    <t>« Повышение эффективности мер по социальной защите и поддержке населения Катав-Ивановского муниципального района»</t>
  </si>
  <si>
    <t>Муниципальная программа «Повышение эффективности мер по социальной защите и поддержке населения Катав-Ивановского муниципального района</t>
  </si>
  <si>
    <t> Муниципальная программа "Поддержка садоводческих, некоммерческих товариществ граждан, расположенных на территории Катав-Ивановского муниципального района"</t>
  </si>
  <si>
    <t>Муниципальная программа "Поддержка и развитие социально-ориентированных некоммерческих организаций в Катав-Ивановском районе"</t>
  </si>
  <si>
    <t> МП "Развитие физической культуры и спорта  в Катав-Ивановском муниципальном районе"</t>
  </si>
  <si>
    <t> Муниципальная программа "Чистая вода" на территории Катав-Ивановскогого муниципального района на 2024-2026 годы</t>
  </si>
  <si>
    <t>Муниципальная программа "Оказание молодым семьям государственной поддержки для улучшения жилищных условий на территории Катав-Ивановского муниципального района на 2023-2027 годы"</t>
  </si>
  <si>
    <t>Муниципальная программа "Благоустройство территории населенных пунктов Катав-Ивановского муниципального района на 2024-2026г</t>
  </si>
  <si>
    <t>Муниципальная программа "Развитие Катав-Ивановского муниципального района в сфере жилищно-коммунального хозяйства и транспорта на 2024-2026годы"</t>
  </si>
  <si>
    <t>Муниципальная программа "Содержание автомобильных дорог общего пользования Катав-Ивановского муниципального района на 2024-2026 годы"</t>
  </si>
  <si>
    <t>Муниципальная программа "Ремонт автомобильных дорог общего пользования Катав-Ивановского муниципального района на 2024-2026 годы"</t>
  </si>
  <si>
    <t>Муниципальная программа "Формирование законопослушного поведения участников дорожного движения на территории Катав-Ивановского муниципального района на 2024-2026 годы"</t>
  </si>
  <si>
    <t>Муниципальная программа "Капитальное строительство на территории Катав-Ивановского муниципального района на 2024-2026годы"</t>
  </si>
  <si>
    <t>Муниципальная программа "Природоохранных мероприятий оздоровления экологической обстановки в Катав-Ивановском муниципальном районе на 2024-2026 годы"</t>
  </si>
  <si>
    <t>Муниципальная программа "Формирование современной городской среды на территории Катав-Ивановского муниципального района на 2024-2026 годы"</t>
  </si>
  <si>
    <t>"Развитие и обеспечение деятельности приоритетных направлений в сфере образования в Катав-Ивановском муниципальном районе"</t>
  </si>
  <si>
    <t>Муниципальная программа "Развитие образования в Катав-Ивановском муниципальном районе"</t>
  </si>
  <si>
    <t>Муниципальная программа "Поддержка и развитие дошкольного образования в Катав-Ивановском муниципальном районе"</t>
  </si>
  <si>
    <t>Программа "Профилактика безнадзорности и правонарушений несовершеннолетних в Катав-Ивановском муниципальном районе</t>
  </si>
  <si>
    <t>Муниципальная программа "Повышение эффективности реализации молодежной политики на территории Катав-Ивановского муниципального района"</t>
  </si>
  <si>
    <t>МП «Капитальный ремонт недвижимого имущества, находящегося в собственности Катав-Ивановского городского поселения»</t>
  </si>
  <si>
    <t>МП «Развитие улично-дорожной сети Катав-Ивановского городского поселения»</t>
  </si>
  <si>
    <t>МП «Благоустройство  Катав-Ивановского городского поселения»</t>
  </si>
  <si>
    <t>МП «Модернизация объектов жилищно-коммунального хозяйства КИГП»</t>
  </si>
  <si>
    <t>МП «Формирование современной городской среды Катав-Ивановского городского поселения»</t>
  </si>
  <si>
    <t>Главные распорядители средств бюджета муниципального района</t>
  </si>
  <si>
    <t>7.8. Качество управления деятельностью бюджетных и автономных учреждений (наличие правовых актов, обеспечивающих проведение мониторинга деятельности или качества финансового менеджмента БУ и АУ, содержащих показатели, отражающие: Р=((1+….+7)/n)*100, n=7</t>
  </si>
  <si>
    <t>Бюджетные ассигнования на отчетный год,                  S</t>
  </si>
  <si>
    <t xml:space="preserve">Муниципальная программа "Совершенствование механизма муниципального управления" </t>
  </si>
  <si>
    <t> Муниципальная программа "Обеспечение комфортных условий проживания граждан Юрюзанского городского поселения"</t>
  </si>
  <si>
    <t>Муниципальная программа "Развитие физической культуры и массового спорта в Юрюзанском городском поселении"</t>
  </si>
  <si>
    <t xml:space="preserve">Муниципальная программа "Развитие культуры в Юрюзанском городском поселении" </t>
  </si>
  <si>
    <t>Муниципальная программа "Совершенствование механизма муниципального управления"</t>
  </si>
  <si>
    <t>Муниципальная программа "Развитие современной и эффективной автомобильно-дорожной инфраструктуры Юрюзанского городского поселения"</t>
  </si>
  <si>
    <t>Муниципальная программа "Обеспечение комфортных условий проживания граждан Юрюзанского городского поселения"</t>
  </si>
  <si>
    <t>Муниципальная программа "Формирование современной городской среды в Юрюзанском городском поселении"</t>
  </si>
  <si>
    <t xml:space="preserve">Муниципальная программа "Обеспечение комфортных условий проживания граждан Юрюзанского городского поселения" </t>
  </si>
  <si>
    <t>Муниципальная программа "Переселение в 2024-2026 годы граждан из жилищного фонда Катав-Ивановского муниципального района, признанного непригодным для проживания"</t>
  </si>
  <si>
    <t>К сложности (ставим, если больше среднего значения БА)</t>
  </si>
  <si>
    <r>
      <t>начальник отдела КИБ                           ____________________________________                   И</t>
    </r>
    <r>
      <rPr>
        <u/>
        <sz val="12"/>
        <rFont val="Times New Roman"/>
        <family val="1"/>
        <charset val="204"/>
      </rPr>
      <t>.С. Воронова</t>
    </r>
  </si>
  <si>
    <r>
      <t xml:space="preserve">Начальник отдела бухгалтерского учета и 
отчетности, главный бухгалтер                        ____________________________________                 Л.Н.Малахова                      </t>
    </r>
    <r>
      <rPr>
        <u/>
        <sz val="12"/>
        <rFont val="Times New Roman"/>
        <family val="1"/>
        <charset val="204"/>
      </rPr>
      <t>2-44-12</t>
    </r>
  </si>
  <si>
    <t xml:space="preserve">                                                                                                     (подпись)                                     (расшифровка подписи)             (телефон)</t>
  </si>
  <si>
    <t>Отчет о результатах годового мониторинга качества финансового менеджмента, осуществляемого главными распорядителями средств и главными администраторами доходов бюджета Катав-Ивановского муниципального района</t>
  </si>
  <si>
    <r>
      <t xml:space="preserve">МП «Водоснабжение частного сектора </t>
    </r>
    <r>
      <rPr>
        <sz val="11"/>
        <rFont val="Times New Roman"/>
        <family val="1"/>
        <charset val="204"/>
      </rPr>
      <t>Катав-Ивановского городского поселения»</t>
    </r>
  </si>
  <si>
    <t>Воронова И.С.</t>
  </si>
  <si>
    <t>Заместитель руководителя Финансового управления, начальник отдела КИБ</t>
  </si>
  <si>
    <t>Оценка      Е=1, если Р=0    Е=1-(Р/100), если Р&gt;0</t>
  </si>
  <si>
    <r>
      <rPr>
        <b/>
        <sz val="10"/>
        <rFont val="Times New Roman"/>
        <family val="1"/>
        <charset val="204"/>
      </rPr>
      <t xml:space="preserve">Оценка показателя 2.8.                  Е   </t>
    </r>
    <r>
      <rPr>
        <sz val="10"/>
        <rFont val="Times New Roman"/>
        <family val="1"/>
        <charset val="204"/>
      </rPr>
      <t xml:space="preserve">              Е=1, если Р = 100%;
Е=0,8, если 97% ≤ Р &lt; 100%;
Е=0,5,     если 95% ≤ Р &lt; 97%;
Е=0,        если Р &lt; 95%
</t>
    </r>
  </si>
  <si>
    <t>Начальник бюджетного отдела</t>
  </si>
  <si>
    <t>ГРБС, имеющих в функциональной подчиненности муниципальные учреждения Р ≤8%</t>
  </si>
  <si>
    <t>ГРБС, имеющих в функциональной подчиненности муниципальные учреждения Р &gt;8%</t>
  </si>
  <si>
    <t>ГРБС, доля расходов которых в общем объеме расходов бюджета выше среднего значения относительно общего числа ГРБС, Р ≤8%</t>
  </si>
  <si>
    <t>ГРБС, доля расходов которых в общем объеме расходов бюджета выше среднего значения относительно общего числа ГРБС, Р &gt;8%</t>
  </si>
  <si>
    <t xml:space="preserve">Оценка 5.3.                                   Е = 1, если Р ≤ 10%;
Е= 0,если Р &gt; 10%, 
</t>
  </si>
  <si>
    <t>****** - отчетность сдается по поселению</t>
  </si>
  <si>
    <t>****** показатели отсутствуют, отчетность формируется по поселению</t>
  </si>
  <si>
    <t>******</t>
  </si>
  <si>
    <t>7.4. Доля бюджетных учреждений и автономных учреждений, оказывающих муниципальные услуги (выполняющих работы) в соответствии с муниципальным заданием, в общем числе муниципальных учреждений Катав-Ивановского муниципального района</t>
  </si>
  <si>
    <r>
      <rPr>
        <b/>
        <sz val="16"/>
        <rFont val="Times New Roman"/>
        <family val="1"/>
        <charset val="204"/>
      </rPr>
      <t>*</t>
    </r>
    <r>
      <rPr>
        <sz val="10"/>
        <rFont val="Times New Roman"/>
        <family val="1"/>
        <charset val="204"/>
      </rPr>
      <t xml:space="preserve"> при расчете показателя учитываются налоговые и неналоговые доходы - доходы с 01 по 16 подгруппу доходов бюджетной классификации Российской Федерации с учетом доходов по подстатье 11705040040000180.
При расчете индикатора не учитывается просроченная дебиторская задолженность, безнадежная к взысканию по Бюджетному кодексу Российской Федерации, а также задолженность организаций, находящихся в стадии процедуры банкротства и признанных банкротами.
Также исключается просроченная дебиторская задолженность:
1) образовавшаяся в связи с применением санкций в виде штрафов, неустоек, пени, уплаченных в случае просрочки исполнения поставщиком (подрядчиком, исполнителем) обязательств, предусмотренных государственными контрактами, заключенными ГРБС, подведомственными казенными учреждениями (по коду бюджетной классификации - 00011607010040000140);
2) по штрафам, установленным Кодексом Российской Федерации об административных правонарушениях (далее именуется - КоАП РФ), если постановления о наложении административных штрафов вынесены мировыми судьями по результатам рассмотрения дел
****** показатели отсутствуют, отчетность формируется по поселению
</t>
    </r>
  </si>
  <si>
    <t>нет/да</t>
  </si>
  <si>
    <t>нет/нет</t>
  </si>
  <si>
    <t>****** - показатель отсутствует, т.к. отчетность сдается по поселению</t>
  </si>
  <si>
    <r>
      <rPr>
        <b/>
        <sz val="12"/>
        <rFont val="Times New Roman"/>
        <family val="1"/>
        <charset val="204"/>
      </rPr>
      <t>Оценка показателя 4.1.</t>
    </r>
    <r>
      <rPr>
        <sz val="12"/>
        <rFont val="Times New Roman"/>
        <family val="1"/>
        <charset val="204"/>
      </rPr>
      <t xml:space="preserve">                        Е=0 если Р&gt;100% и </t>
    </r>
    <r>
      <rPr>
        <b/>
        <u/>
        <sz val="12"/>
        <rFont val="Times New Roman"/>
        <family val="1"/>
        <charset val="204"/>
      </rPr>
      <t>(или) нарушен</t>
    </r>
    <r>
      <rPr>
        <sz val="12"/>
        <rFont val="Times New Roman"/>
        <family val="1"/>
        <charset val="204"/>
      </rPr>
      <t xml:space="preserve"> срок предоставления отчетности                          E=1-(P/100) если P&lt;100% и (</t>
    </r>
    <r>
      <rPr>
        <b/>
        <u/>
        <sz val="12"/>
        <rFont val="Times New Roman"/>
        <family val="1"/>
        <charset val="204"/>
      </rPr>
      <t>или) не нарушен</t>
    </r>
    <r>
      <rPr>
        <sz val="12"/>
        <rFont val="Times New Roman"/>
        <family val="1"/>
        <charset val="204"/>
      </rPr>
      <t xml:space="preserve"> срок предоставления отчетности</t>
    </r>
  </si>
  <si>
    <t>Р&lt;100%, срок соблюден</t>
  </si>
  <si>
    <t>нарушен срок</t>
  </si>
  <si>
    <t>Критерий оценки             Р&lt;100% и (или) соблюден срок                                  или                             Р&gt;100% и (или) нарушен срок</t>
  </si>
  <si>
    <t>Приложение № 18</t>
  </si>
  <si>
    <t>об обращениях главных распорядителей бюджетных средств
 к Главе  Катав-Ивановского муниципального района о выделении дополнительных средств бюджета</t>
  </si>
  <si>
    <t>Заместитель начальника Финансового управления             ________________________                __Воронова И.С.______</t>
  </si>
  <si>
    <t>Колличество МП и проектов</t>
  </si>
  <si>
    <t xml:space="preserve">Значение показателя характеризует, насколько полно во фрагменте реестра расходных обязательств ГРБС отражены бюджетные ассигнования, предусмотренные ГРБС в проекте бюджета на очередной финансовый год и плановый период. Наличие неисполняемых расходных обязательств Катав-Ивановского муниципального района (в т.ч. финансируемых не в полном объеме) свидетельствует о необходимости проведения анализа целесообразности осуществления данных расходов, внесения изменений в соответствующие нормативные правовые акты с целью оптимизации объема и структуры реестра расходных обязательств ГРБС.
Целевым ориентиром для ГРБС является значение показателя, равное 100%.
</t>
  </si>
  <si>
    <t>2. Обоснования бюджетных ассигнований</t>
  </si>
  <si>
    <t xml:space="preserve">Негативным считается факт накопления значительного объема кредиторской задолженности по расчетам с поставщиками и подрядчиками по состоянию на 1 января года, следующего за отчетным, по отношению к кассовому исполнению расходов ГРБС и исполнению расходов БУ в отчетном финансовом году.
Показатель рассчитывается ежегодно
</t>
  </si>
  <si>
    <t xml:space="preserve">Негативным считается факт накопления значительного объема дебиторской задолженности по расчетам с поставщиками и подрядчиками по состоянию на 1 января года, следующего за отчетным, по отношению к кассовому исполнению расходов ГРБС и исполнению расходов БУ в отчетном финансовом году.
Показатель рассчитывается ежегодно
</t>
  </si>
  <si>
    <t xml:space="preserve">Позитивно расценивается рост количества бюджетных учреждений, оказывающих муниципальные  услуги (выполняющих работы)
Целевым ориентиром является значение индикатора 80 и более процентов.
Индикатор рассчитывается ежегодно
</t>
  </si>
  <si>
    <t xml:space="preserve">позитивно расценивается рост объема доходов муниципальных бюджетных учреждений от приносящей доход деятельности 
Целевым ориентиром является значение индикатора 20 и более процентов.
Индикатор рассчитывается ежегодно
</t>
  </si>
  <si>
    <t>Группа</t>
  </si>
  <si>
    <t>высокая</t>
  </si>
  <si>
    <t>I</t>
  </si>
  <si>
    <t xml:space="preserve">                                                                                        (подпись)                                (расшифровка подписи)    (телефон)</t>
  </si>
  <si>
    <t>Исполнитель:                               ______________________                   М.А.Тараканова    2-02-84</t>
  </si>
  <si>
    <t>Исполнитель          ____________     ___________       ________________        _____________</t>
  </si>
  <si>
    <t xml:space="preserve">       Воронова И.С.</t>
  </si>
  <si>
    <t xml:space="preserve">3- в связи с отсутствием муниципальных программ и подведомственных получателей бюджетных средств и (или) подведоственных бюджетных учреждений не рассчитывается 7 группа показателей, поэтому пропорционально пересчитались веса групп 1, 2, 3, 4, 5 и 6 </t>
  </si>
  <si>
    <r>
      <t>Собрание депутатов Катав-Ивановского муниципального района</t>
    </r>
    <r>
      <rPr>
        <vertAlign val="superscript"/>
        <sz val="14"/>
        <rFont val="Times New Roman"/>
        <family val="1"/>
        <charset val="204"/>
      </rPr>
      <t>3</t>
    </r>
  </si>
  <si>
    <r>
      <t>"КСП Катав-Ивановского муниципального района"</t>
    </r>
    <r>
      <rPr>
        <vertAlign val="superscript"/>
        <sz val="14"/>
        <rFont val="Times New Roman"/>
        <family val="1"/>
        <charset val="204"/>
      </rPr>
      <t>3</t>
    </r>
    <r>
      <rPr>
        <sz val="13"/>
        <rFont val="Times New Roman"/>
        <family val="1"/>
        <charset val="204"/>
      </rPr>
      <t xml:space="preserve"> </t>
    </r>
  </si>
  <si>
    <t>Исполнитель  _начальник отдела по формированию и исполнению бюджетов поселений_Рыжова О.В.__2-16-81_____</t>
  </si>
  <si>
    <t>Исполнитель  _начальник бюджетного отдела _Тараканова М.А._____            _2-02-84_____</t>
  </si>
  <si>
    <t>Исполнитель  _начальник финансового отдела ЮГП   _Родионова Л.В._____            _2-56-46_____</t>
  </si>
  <si>
    <t>                                                                                                        (подпись)                                    (расшифровка подписи) </t>
  </si>
  <si>
    <t>к приложению № 16</t>
  </si>
  <si>
    <t>таблица 2 к приложению № 15</t>
  </si>
  <si>
    <t xml:space="preserve">Сумма, подлежащая взысканию по поступившим с начала финансового года исполнительным документам, решениям налогового органа о взыскании налога, сбора, пеней и штрафов за счет средств бюджетаКатав-Ивановского муниципального района, тыс. рублей
</t>
  </si>
  <si>
    <t>к приложению № 8</t>
  </si>
  <si>
    <t>Заместитель руководителя Финансового управления,</t>
  </si>
  <si>
    <t>к приложению № 6</t>
  </si>
  <si>
    <r>
      <t xml:space="preserve">Периодичность: </t>
    </r>
    <r>
      <rPr>
        <b/>
        <u/>
        <sz val="11"/>
        <rFont val="Times New Roman"/>
        <family val="1"/>
        <charset val="204"/>
      </rPr>
      <t>годовая</t>
    </r>
    <r>
      <rPr>
        <sz val="11"/>
        <rFont val="Times New Roman"/>
        <family val="1"/>
        <charset val="204"/>
      </rPr>
      <t> </t>
    </r>
  </si>
  <si>
    <t>к приложению № 3</t>
  </si>
  <si>
    <t>Муниципальная программа "реализация  инициативных проектов в Юрюзанском городском поселении"</t>
  </si>
  <si>
    <t>на 1 января  2026 г.</t>
  </si>
  <si>
    <t xml:space="preserve">Заместитель начальника Финансового управления, начальник отдела казначейского исполнения бюджета  </t>
  </si>
  <si>
    <t>Заместитель начальника Финансового управления, начальник отдела казначейского исполнения бюджета</t>
  </si>
  <si>
    <t>"23" марта  2026 г. </t>
  </si>
  <si>
    <t>к Порядку проведения мониторинга качества финансового менеджмента в отношении главных распорядителей бюджетных средств, главных администраторов доходов бюджета Катав-Ивановского муниципального округа
от 30.12.2025г № 233</t>
  </si>
  <si>
    <t xml:space="preserve">Приложение 15 к Порядку проведения мониторинга качества финансового менеджмента в отношении главных распорядителей бюджетных средств, главных администраторов доходов бюджета Катав-Ивановского муниципального округа
от 30.12.2025г № 233
</t>
  </si>
  <si>
    <t xml:space="preserve">Сведения о непринятых к исполнению заявок на оплату расходов при санкционировании оплаты
 денежных обязательств, об объеме принятых бюджетных обязательств на поставку товаров, оказание услуг, выполнение работ для муниципальных нужд и внесенных изменений в планы-графики
на 01 января 2026 г.
</t>
  </si>
  <si>
    <t xml:space="preserve">к Порядку проведения мониторинга качества финансового менеджмента в отношении главных распорядителей бюджетных средств, главных администраторов доходов бюджета Катав-Ивановского муниципального округа
от 30.12.2025г № 233
</t>
  </si>
  <si>
    <t>на 01 января 2026 г.</t>
  </si>
  <si>
    <t>по состоянию на 01.01.2026 г.</t>
  </si>
  <si>
    <t>Информация о дебиторской и кредиторской задолженности по состоянию на 01.01.2026 г.</t>
  </si>
  <si>
    <t xml:space="preserve">Приложение 14 к Порядку проведения мониторинга качества финансового менеджмента в отношении главных распорядителей бюджетных средств, главных администраторов доходов бюджета Катав-Ивановского муниципального округа
от 30.12.2025г № 233
</t>
  </si>
  <si>
    <t>на 1 января 2026 года</t>
  </si>
  <si>
    <t>к Порядку проведения мониторинга качества финансового менеджмента в отношении главных распорядителей бюджетных средств, главных администраторов доходов бюджета Катав-Ивановского муниципального округа от 30.12.2025г. № 233</t>
  </si>
  <si>
    <r>
      <t>на 1 января 2026 г.</t>
    </r>
    <r>
      <rPr>
        <b/>
        <sz val="11"/>
        <rFont val="Times New Roman"/>
        <family val="1"/>
        <charset val="204"/>
      </rPr>
      <t> </t>
    </r>
  </si>
  <si>
    <t>Периодичность: годовая </t>
  </si>
  <si>
    <t xml:space="preserve">Приложение 10 к Порядку проведения мониторинга качества финансового менеджмента в отношении главных распорядителей бюджетных средств, главных администраторов доходов бюджета Катав-Ивановского муниципального округа
от 30.12.2025г № 233
</t>
  </si>
  <si>
    <t>на 1 января 2026 г.</t>
  </si>
  <si>
    <t xml:space="preserve">                                                                                                                   Приложение № 7 к Порядку проведения                                                                                                        мониторинга качества финансового менеджмента в отношении главных распорядителей бюджетных средств, главных администраторов доходов бюджета Катав-Ивановского муниципального округа
от 30.12.2025г № 233
</t>
  </si>
  <si>
    <t>на 01.01.2026 г.</t>
  </si>
  <si>
    <t>за 2025 год</t>
  </si>
  <si>
    <t>"03" марта 2026 г. </t>
  </si>
  <si>
    <t>"03" марта 2025 г. </t>
  </si>
  <si>
    <t> Муниципальная программа "Управление муниципальными финансами Катав-Ивановского муниципального района"</t>
  </si>
  <si>
    <t>Бюджетные ассигнования на финансовое обеспечение муниципальных программ,          Sp</t>
  </si>
  <si>
    <t xml:space="preserve">Позитивно расценивается рост доли бюджетных ассигнований ГРБС на отчетный (текущий) финансовый год,  представленных в виде муниципальных программ.
Показатель рассчитывается ежегодно.
</t>
  </si>
  <si>
    <t xml:space="preserve">Позитивно расценивается рост доли бюджетных ассигнований ГРБС на отчетный (текущий) финансовый год,  представленных в виде муниципальных программ без учета субвенции на реализацию передаваемых полномочий субъекта РФ, полномочий РФ.
Показатель рассчитывается ежегодно.
</t>
  </si>
  <si>
    <t>Выполнение требований
Стандарта осуществления внутреннего финансового аудита, утверденного приказом Минфина России от 18.12.2019 г. № 237н, является положительным фактором, способствующим повышению качества
финансового менеджмента.
Показатель рассчитывается ежегодно.</t>
  </si>
  <si>
    <t>Показатель применяется для оценки правового обеспечения деятельности администраторов доходов  бюджета по осуществлению контроля за правильностью исчисления, полнотой и своевременностью уплаты, начисления, учета, взыскания и принятия решений о возврате (зачете) излишне уплаченных (взысканных) платежей, пеней и штрафов по ним, являющихся доходами  бюджета. При отсутствии у главного администратора доходов подведомственных АДБ правовой акт в отношении требований, касающихся  АДБ считается соответствующий указанным требованиям.Показатель рассчитывается ежегодно.</t>
  </si>
  <si>
    <t>*&gt;</t>
  </si>
  <si>
    <t>*&gt; - показатель не рассчитывается, т.к. не является администратором доходов</t>
  </si>
  <si>
    <t>Показатель применяется для оценки правового обеспечения проведения мониторинга деятельности БУ и АУ.
Показатель рассчитывается ежегодно.</t>
  </si>
  <si>
    <t>* - нет подведомственных БУ, АУ</t>
  </si>
  <si>
    <t xml:space="preserve">Выполнение требований Стандарта осуществления внутреннего финансового аудита, утверденного приказом Минфина России от 18.12.2019 г. № 237н, является положительным фактором, способствующим повышению качества финансового менеджмента.
Показатель рассчитывается ежегодно
</t>
  </si>
  <si>
    <t xml:space="preserve">Показатель применяется для оценки правового обеспечения деятельности ГАДБ по осуществлению контроля за правильностью исчисления, полнотой и своевременностью уплаты, начисления, учета, взыскания и принятия решений о возврате (зачете) излишне уплаченных (взысканных) платежей, пеней и штрафов по ним, являющихся доходами  бюджета.
 При отсутствии у ГАДБ подведомственных АДБ правовой акт в отношении требований, касающихся  АДБ считается соответствующий указанным требованиям.
Показатель рассчитывается ежегодно
</t>
  </si>
  <si>
    <t xml:space="preserve">Большое количество казначейских уведомлений на сумму текущих изменений  ПОФ на отчетную дату свидетельствует о низком качестве работы ГРБС по планированию предельных объемов финансирования.
Позитивно расценивается минимальное ко-личество казначейских уведомлений на сумму текущих изменений  ПОФ.
Индикатор рассчитывается ежегодно
</t>
  </si>
  <si>
    <t xml:space="preserve">Негативно расценивается для ГАДБ как недовыполнение плана поступления администрируемых налоговых и неналоговых доходов на отчетный период, так и значительное его перевыполнение. 
Показатель анализируется для ГАДБ по налоговым и неналоговым доходам. 
Целевым ориентиром для ГАДБ является значение показателя, не превосходящее 15 %.
Налоговые и неналоговые доходы – доходы с 01 по 17 подгруппы доходов бюджетной классификации Российской Федерации за исключением подгруппы 113,  статей 11102, 11103,  невыясненных поступлений (11701040040000180)
Показатель рассчитывается ежегодно
</t>
  </si>
  <si>
    <t xml:space="preserve">Негативным считается факт увеличение объема невыясненных поступлений за отчетный период.
Целевым ориентиром является значение индикатора 0.
Индикатор рассчитывается  ежегодно
</t>
  </si>
  <si>
    <t xml:space="preserve">Факт приостановления операций по расходованию средств подведомственных ГРБС получателей средств  бюджета, БУ в связи с нарушением процедур исполнения судебных актов и решений налогового органа о взыскании налога, сбора, пеней и штрафов свидетельствует о плохом качестве финансового менеджмента.
Целевым ориентиром для ГРБС является значение показателя, равное 0.
Показатель рассчитывается ежегодно
</t>
  </si>
  <si>
    <t xml:space="preserve">Позитивно расценивается сокращение суммы, подлежащей взысканию по поступившим с начала финансового года исполнительным документам, решениям налогового органа о взыскании налога, сбора, пеней и штрафов за счет средств  бюджета и средств БУ  по состоянию на конец отчетного периода, по отношению к кассовому исполнению расходов ГРБС и исполнению расходов БУ  в отчетном периоде.
Целевым ориентиром для ГРБС является значение показателя, равное 0%.
Показатель рассчитывается ежегодно
</t>
  </si>
  <si>
    <t xml:space="preserve">Позитивно расценивается рост доли бюджетных ассигнований ГРБС на отчетный (текущий) финансовый год,  представленных в виде муниципальных программ.
Показатель рассчитывается ежегодно
</t>
  </si>
  <si>
    <t xml:space="preserve">Позитивно расценивается рост доли бюджетных ассигнований ГРБС на отчетный (текущий) финансовый год,  представленных в виде муниципальных программ без учета субвенции на реализацию передаваемых полномочий субъекта РФ, полномочий РФ.
Показатель рассчитывается ежегодно
</t>
  </si>
  <si>
    <t xml:space="preserve">Показатель применяется для оценки правового обеспечения проведения мониторинга деятельности БУ.
Показатель рассчитывается ежегодно
</t>
  </si>
  <si>
    <t>"29" апреля 2026 г. </t>
  </si>
  <si>
    <t>да, но нет структурного подразделения</t>
  </si>
  <si>
    <t>2) наделение АДБ бюджетными полномочиями администратора</t>
  </si>
  <si>
    <t>"25" мая 2025 г. </t>
  </si>
  <si>
    <t>5.2. Выявленные нарушения Контрольно-счетной палатой Катав-Ивановского муниципального округа</t>
  </si>
  <si>
    <t>Исполнитель  _заместитель председателя_____             ________________       _Логинова О.И._____            _2-17-26_____</t>
  </si>
  <si>
    <t xml:space="preserve">                                         (должность)                                                (подпись)               (расшифровка подписи)           (телефон)</t>
  </si>
  <si>
    <t>таблица 2 к своду по прилож. 1,2</t>
  </si>
  <si>
    <t>1)закрепление доходных источников бюджета Катав-Ивановского муниципального округа за ГАДБ и администраторами доходов бюджета (далее – АДБ)</t>
  </si>
  <si>
    <t>* - показатель не рассчитывается, ввиду отсутствия у ГРБС подведомственных получателей бюджетных средств и (или) подведоственных бюджетных и автономных учреждений, не установлено муниципальное задание</t>
  </si>
  <si>
    <t>7.3. Доля казенных учреждений, для которых установлены муниципальные задания, в общем числе казенных учреждений (без учета органов местного самоуправления)</t>
  </si>
  <si>
    <t>количество казенных учреждений (без учета органов местного самоуправления), КГКУ</t>
  </si>
  <si>
    <t>количество казенных учреждений, для которых установлены муниципальные задания,       КГКУЗ</t>
  </si>
  <si>
    <t>Р =КГКУЗ/ КГКУ х100</t>
  </si>
  <si>
    <t>Свод сведений, характеризующих работу ГРБС по использованию инструментов повышения эффективности бюджетных расходов и прозрачности бюджетного процесса</t>
  </si>
  <si>
    <t>7.4. Доля бюджетных учреждений и автономных учреждений, оказывающих муниципальные услуги (выполняющих работы) в соответствии с муниципальным заданием, в общем числе муниципальных учреждений Катав-Ивановского муниципального округа</t>
  </si>
  <si>
    <t>Р = (КГБУ + КГАУ) / КГУ х 100</t>
  </si>
  <si>
    <t xml:space="preserve">Е(Р) = 1, если Р ≥ 80%
Е(Р) = 0,7, если 66% ≤ Р &lt; 80%
Е(Р) = 0,3, если 51% ≤ Р ≤ 65%
Е(Р) = 0, если Р ≤ 50%
</t>
  </si>
  <si>
    <t>Р= (ДАБГУг – ДАБГУг-1)/ДАБГУ г-1 х100</t>
  </si>
  <si>
    <t xml:space="preserve">доход муниципальных АУ и БУ за последний отчетный год,           ДАБГУг
</t>
  </si>
  <si>
    <t xml:space="preserve">доход муниципальных АУ и БУ за год, предшествующий
отчетному,            ДАБГУ г-1
</t>
  </si>
  <si>
    <t xml:space="preserve">Е(Р) = 1,  если Р ≥ 20%
Е(Р) = 0,7,  если 11% ≤ Р &lt; 20%
Е(Р) = 0,5, если 6% ≤ Р ≤ 10%
Е(Р) = 0,3,  если 1% ≤ Р ≤ 5%
Е(Р) = 0, если Р  ≤  0%  
или  ДАБГУ г-1 &gt;  ДАБГУ г
</t>
  </si>
  <si>
    <t xml:space="preserve">Е(Р) = 1,  если Р = 100 %
Е(Р) = 0,7, если 86 % ≤  Р &lt; 100%
Е(Р) = 0,3, если 66% ≤ Р ≤ 85%
Е(Р) = 0, если Р ≤ 65%
</t>
  </si>
  <si>
    <t xml:space="preserve">7.6.Наличие нормативных правовых актов Катав-Ивановского муниципального округа, устанавливающих стандарты (требования к качеству) оказания (выполнения) муниципальных услуг  (работ) юридическим и физическим лицам по перечню муниципального услуг (работ), оказываемых (выполняемых), находящимися в ведении ГРБС муниципальными
учреждениями в качестве основных видов деятельности
</t>
  </si>
  <si>
    <t>7.7. Наличие результатов контроля за исполнением муниципальных заданий на оказание (выполнение) муниципальных услуг (работ) юридическим и физическим лицам в соответствии с порядком, утвержденным нормативным правовым актом Катав-Ивановского муниципального округа</t>
  </si>
  <si>
    <t xml:space="preserve">В рамках оценки данного индикатора позитивно рассматривается  сам факт наличия результатов контроля за исполнением муниципальных заданий на оказание (выполнение) муниципальных услуг (работ) юридическим и физическим лицам в соответствии с порядком, утвержденным нормативным правовым актом Катав-Ивановского муниципального округа.
Индикатор рассчитывается ежегодно
</t>
  </si>
  <si>
    <t>7.10. Количество муниципальных учреждений (БУ и АУ), выполнивших муниципальное задание на 100%, в общем количестве муниципальных учреждений (БУ и АУ), которым установлены муниципальные задания</t>
  </si>
  <si>
    <t xml:space="preserve">общий объем субсидий на финансовое обеспечение муниципального задания на оказание муниципальных услуг (выполнение работ) и субсидий на иные цели, перечисленных на отчетную дату ГРБС на лицевые счета подведомственных БУ, АУ,                     Р суб </t>
  </si>
  <si>
    <t>общий объем остатков на лицевых счетах бюджетных, автономных учреждений за счет субсидий на финансовое обеспечение муниципального задания на оказание муниципальных услуг (выполнение работ), субсидий на иные цели на отчетную дату,       Р ост</t>
  </si>
  <si>
    <t>P = Рост / Рсуб х 100</t>
  </si>
  <si>
    <r>
      <t>Периодичность:</t>
    </r>
    <r>
      <rPr>
        <b/>
        <sz val="10"/>
        <rFont val="Times New Roman"/>
        <family val="1"/>
        <charset val="204"/>
      </rPr>
      <t>годовая</t>
    </r>
    <r>
      <rPr>
        <sz val="10"/>
        <rFont val="Times New Roman"/>
        <family val="1"/>
        <charset val="204"/>
      </rPr>
      <t xml:space="preserve"> </t>
    </r>
  </si>
  <si>
    <t>Рыжова О.В.</t>
  </si>
  <si>
    <t>2-16-81</t>
  </si>
  <si>
    <t>"30" апреля 2026 г. </t>
  </si>
  <si>
    <t>*&gt; не является администратором доходов</t>
  </si>
  <si>
    <t>Объем невыясненных поступлений текущего года,               D</t>
  </si>
  <si>
    <r>
      <t>Оценка показателя 3.4.  P=1, если D</t>
    </r>
    <r>
      <rPr>
        <u/>
        <sz val="10"/>
        <rFont val="Times New Roman"/>
        <family val="1"/>
        <charset val="204"/>
      </rPr>
      <t>&lt;</t>
    </r>
    <r>
      <rPr>
        <sz val="10"/>
        <rFont val="Times New Roman"/>
        <family val="1"/>
        <charset val="204"/>
      </rPr>
      <t>0 P=0, если D&gt;0</t>
    </r>
  </si>
  <si>
    <t>3.4 Эффективность работы с невыясненными поступлениями бюджета Катав-Ивановского муниципального округа</t>
  </si>
  <si>
    <t>Зам. Начальника Финансого управления, начальник отдела КИБ   _______________________   Воронова И.С.</t>
  </si>
  <si>
    <r>
      <t xml:space="preserve">                                                                                                                                                      (подпись)                                (расшифровка подписи)</t>
    </r>
    <r>
      <rPr>
        <sz val="11"/>
        <rFont val="Times New Roman"/>
        <family val="1"/>
        <charset val="204"/>
      </rPr>
      <t> </t>
    </r>
  </si>
  <si>
    <t xml:space="preserve"> об исполнении бюджета Катав-Ивановского муниципального района по налоговым и неналоговым доходам по главным администраторам доходов бюджета Катав-Ивановского муниципального района</t>
  </si>
  <si>
    <t xml:space="preserve">Приложение  6                                                                                                         к Порядку проведения мониторинга качества финансового менеджмента в отношении главных распорядителей бюджетных средств, главных администраторов доходов бюджета Катав-Ивановского муниципального округа
от 30.12.2025г № 233
</t>
  </si>
  <si>
    <t>"18" мая 2026 г. </t>
  </si>
  <si>
    <t xml:space="preserve">4.1. Представление качественной годовой бюджетной отчетности и бухгалтерской отчетности муниципальных учреждений в установленные сроки
</t>
  </si>
  <si>
    <r>
      <t>Количество изменений  форм годовой бюджетной отчетности и бухгалтерской отчетности муниципальных учреждений в период формирования сводной бюджетной отчетности  
(суммарно),</t>
    </r>
    <r>
      <rPr>
        <b/>
        <sz val="12"/>
        <rFont val="Times New Roman"/>
        <family val="1"/>
        <charset val="204"/>
      </rPr>
      <t xml:space="preserve"> n</t>
    </r>
    <r>
      <rPr>
        <sz val="12"/>
        <rFont val="Times New Roman"/>
        <family val="1"/>
        <charset val="204"/>
      </rPr>
      <t xml:space="preserve">
</t>
    </r>
  </si>
  <si>
    <r>
      <t>Количество форм годовой бюджетной отчетности и бухгалтерской отчетности муниципальных учреждений в период формирования сводной бюджетной отчетности  
(суммарно),</t>
    </r>
    <r>
      <rPr>
        <b/>
        <sz val="12"/>
        <rFont val="Times New Roman"/>
        <family val="1"/>
        <charset val="204"/>
      </rPr>
      <t xml:space="preserve"> N</t>
    </r>
  </si>
  <si>
    <t>расчет показателя 4.1.                    Р = n/N*100, %</t>
  </si>
  <si>
    <t xml:space="preserve">В рамках оценки данного показателя позитивно рассматривается безусловное исполнение сроков представления качественной годовой отчетности, установленных приказом Финансового управления.
Позитивно рассматривается  минимальное количество представления измененных  форм годовой бюджетной и бухгалтерской отчетности БУ в Финансовое управление в программном комплексе «СМАРТ» для автоматизации приема, обработки и хранения бухгалтерской отчетности в период формирования сводной бюджетной отчетности и бухгалтерской отчетности БУ.
Индикатор рассчитывается ежегодно
</t>
  </si>
  <si>
    <t xml:space="preserve">Позитивно расценивается рост количества муниципальных казенных учреждений, для которых установлены муниципальные задания.
Целевым ориентиром является значение индикатора более 95%.
Индикатор рассчитывается ежегодно
</t>
  </si>
  <si>
    <t xml:space="preserve">В рамках оценки данного показателя позитивно рассматривается  сам факт наличия нормативных правовых актов Катав-Ивановского муниципального округа, устанавливающих стандарты (требования к качеству) оказания (выполнения) муниципальных услуг (работ)  юридическим и физическим лицам по перечню муниципальных услуг (работ), оказываемых
(выполняемых) находящимися в ведении органа местного самоуправления Катав-Ивановского муниципального округа муниципальными учреждениями в качестве основных видов деятельности.
Индикатор рассчитывается ежегодно
</t>
  </si>
  <si>
    <t>гр.2+гр.3 приложения 8</t>
  </si>
  <si>
    <t>"30" апреля 2026 г.</t>
  </si>
  <si>
    <r>
      <t xml:space="preserve">расчет показателя 6.8. </t>
    </r>
    <r>
      <rPr>
        <sz val="10"/>
        <rFont val="Arial Cyr"/>
        <charset val="204"/>
      </rPr>
      <t>Сумма, подлежащая взысканию по исполнительным документам, решениям налогового органа о взыскании налога, сбора, пеней и штрафов</t>
    </r>
  </si>
  <si>
    <t>Наменование ГРБС</t>
  </si>
  <si>
    <t>6.5. Иски по денежным обязательствам получателей средств бюджета (в денежном выражении)</t>
  </si>
  <si>
    <t xml:space="preserve">6.7. Приостановление операций по расходованию средств на лицевых счетах подведомственных ГРБС получателей средств бюджета, БУ и АУ  </t>
  </si>
  <si>
    <t>6.8. Сумма, подлежащая взысканию по исполнительным документам, решениям налогового органа о взыскании налога, сбора, пеней и штрафов (РАСЧЕТ В ПРИЛОЖЕНИИ 8 мониторинга)</t>
  </si>
  <si>
    <r>
      <rPr>
        <b/>
        <sz val="11"/>
        <color theme="1"/>
        <rFont val="Times New Roman"/>
        <family val="1"/>
        <charset val="204"/>
      </rPr>
      <t>S</t>
    </r>
    <r>
      <rPr>
        <b/>
        <vertAlign val="subscript"/>
        <sz val="11"/>
        <color theme="1"/>
        <rFont val="Times New Roman"/>
        <family val="1"/>
        <charset val="204"/>
      </rPr>
      <t>u</t>
    </r>
    <r>
      <rPr>
        <sz val="11"/>
        <color theme="1"/>
        <rFont val="Times New Roman"/>
        <family val="1"/>
        <charset val="204"/>
      </rPr>
      <t xml:space="preserve"> – общая сумма исковых требований в денежном выражении, определенная судом к взысканию по судебным решениям, вступившим в законную силу в отчетном периоде, по исковым требованиям о возмещении ущерба от незаконных действий или бездействия ГРБС или его должностных лиц; </t>
    </r>
  </si>
  <si>
    <r>
      <rPr>
        <b/>
        <sz val="11"/>
        <color theme="1"/>
        <rFont val="Times New Roman"/>
        <family val="1"/>
        <charset val="204"/>
      </rPr>
      <t>S</t>
    </r>
    <r>
      <rPr>
        <b/>
        <vertAlign val="subscript"/>
        <sz val="11"/>
        <color theme="1"/>
        <rFont val="Times New Roman"/>
        <family val="1"/>
        <charset val="204"/>
      </rPr>
      <t>p</t>
    </r>
    <r>
      <rPr>
        <sz val="11"/>
        <color theme="1"/>
        <rFont val="Times New Roman"/>
        <family val="1"/>
        <charset val="204"/>
      </rPr>
      <t xml:space="preserve"> – общая сумма заявленных исковых требований в денежном выражении, указанных в судебных решениях, вступивших в законную силу в отчетном периоде, по</t>
    </r>
    <r>
      <rPr>
        <sz val="11"/>
        <color rgb="FF000000"/>
        <rFont val="Times New Roman"/>
        <family val="1"/>
        <charset val="204"/>
      </rPr>
      <t xml:space="preserve"> </t>
    </r>
    <r>
      <rPr>
        <sz val="11"/>
        <color theme="1"/>
        <rFont val="Times New Roman"/>
        <family val="1"/>
        <charset val="204"/>
      </rPr>
      <t>исковым требованиям о возмещении ущерба от незаконных действий или бездействия ГРБС или его должностных лиц</t>
    </r>
  </si>
  <si>
    <r>
      <t>Р = 100 х S</t>
    </r>
    <r>
      <rPr>
        <vertAlign val="subscript"/>
        <sz val="11"/>
        <color theme="1"/>
        <rFont val="Times New Roman"/>
        <family val="1"/>
        <charset val="204"/>
      </rPr>
      <t xml:space="preserve">u </t>
    </r>
    <r>
      <rPr>
        <sz val="11"/>
        <color theme="1"/>
        <rFont val="Times New Roman"/>
        <family val="1"/>
        <charset val="204"/>
      </rPr>
      <t>/ S</t>
    </r>
    <r>
      <rPr>
        <vertAlign val="subscript"/>
        <sz val="11"/>
        <color theme="1"/>
        <rFont val="Times New Roman"/>
        <family val="1"/>
        <charset val="204"/>
      </rPr>
      <t>p</t>
    </r>
    <r>
      <rPr>
        <sz val="11"/>
        <color theme="1"/>
        <rFont val="Times New Roman"/>
        <family val="1"/>
        <charset val="204"/>
      </rPr>
      <t xml:space="preserve"> </t>
    </r>
  </si>
  <si>
    <t xml:space="preserve">Вес группы
 в оценке/ показателя
в группе   
(в %)
</t>
  </si>
  <si>
    <r>
      <t>Q</t>
    </r>
    <r>
      <rPr>
        <vertAlign val="subscript"/>
        <sz val="11"/>
        <color theme="1"/>
        <rFont val="Times New Roman"/>
        <family val="1"/>
        <charset val="204"/>
      </rPr>
      <t>u</t>
    </r>
    <r>
      <rPr>
        <sz val="11"/>
        <color theme="1"/>
        <rFont val="Times New Roman"/>
        <family val="1"/>
        <charset val="204"/>
      </rPr>
      <t xml:space="preserve"> – общее количество судебных решений, вступивших в законную силу в отчетном периоде и предусматривающих полное или частичное удовлетворение исковых требований о возмещении ущерба от незаконных действий или бездействия ГРБС или его должностных лиц</t>
    </r>
  </si>
  <si>
    <r>
      <t>Q</t>
    </r>
    <r>
      <rPr>
        <vertAlign val="subscript"/>
        <sz val="11"/>
        <color theme="1"/>
        <rFont val="Times New Roman"/>
        <family val="1"/>
        <charset val="204"/>
      </rPr>
      <t>p</t>
    </r>
    <r>
      <rPr>
        <sz val="11"/>
        <color theme="1"/>
        <rFont val="Times New Roman"/>
        <family val="1"/>
        <charset val="204"/>
      </rPr>
      <t xml:space="preserve"> – общее количество судебных решений, вступивших в законную силу в отчетном периоде, по</t>
    </r>
    <r>
      <rPr>
        <sz val="11"/>
        <color rgb="FF000000"/>
        <rFont val="Times New Roman"/>
        <family val="1"/>
        <charset val="204"/>
      </rPr>
      <t xml:space="preserve"> </t>
    </r>
    <r>
      <rPr>
        <sz val="11"/>
        <color theme="1"/>
        <rFont val="Times New Roman"/>
        <family val="1"/>
        <charset val="204"/>
      </rPr>
      <t>исковым требованиям о возмещении ущерба от незаконных действий или бездействия ГРБС или его должностных лиц</t>
    </r>
  </si>
  <si>
    <r>
      <t>Р = 100 х Q</t>
    </r>
    <r>
      <rPr>
        <vertAlign val="subscript"/>
        <sz val="11"/>
        <color theme="1"/>
        <rFont val="Times New Roman"/>
        <family val="1"/>
        <charset val="204"/>
      </rPr>
      <t>u</t>
    </r>
    <r>
      <rPr>
        <sz val="11"/>
        <color theme="1"/>
        <rFont val="Times New Roman"/>
        <family val="1"/>
        <charset val="204"/>
      </rPr>
      <t xml:space="preserve"> / Q</t>
    </r>
    <r>
      <rPr>
        <vertAlign val="subscript"/>
        <sz val="11"/>
        <color theme="1"/>
        <rFont val="Times New Roman"/>
        <family val="1"/>
        <charset val="204"/>
      </rPr>
      <t>p</t>
    </r>
  </si>
  <si>
    <t>Вес группы
 в оценке/ показателя
в группе   
(в %)</t>
  </si>
  <si>
    <t>Su – общая сумма исковых требований в денежном выражении, определенная судом к взысканию по судебным решениям, вступившим в законную силу в отчетном периоде, по исковым требованиям к ГРБС, предъявленным в порядке субсидиарной ответственности по денежным обязательствам подведомственных ему получателей бюджетных средств</t>
  </si>
  <si>
    <t>Sp – общая сумма заявленных исковых требований в денежном выражении, указанных в судебных решениях, вступивших в законную силу в отчетном периоде, по исковым требованиям к ГРБС, предъявленным в порядке субсидиарной ответственности по денежным обязательствам подведом-ственных ему получателей бюджетных средств</t>
  </si>
  <si>
    <r>
      <t>Р = 100 х S</t>
    </r>
    <r>
      <rPr>
        <vertAlign val="subscript"/>
        <sz val="11"/>
        <color theme="1"/>
        <rFont val="Times New Roman"/>
        <family val="1"/>
        <charset val="204"/>
      </rPr>
      <t>u</t>
    </r>
    <r>
      <rPr>
        <sz val="11"/>
        <color theme="1"/>
        <rFont val="Times New Roman"/>
        <family val="1"/>
        <charset val="204"/>
      </rPr>
      <t xml:space="preserve"> / S</t>
    </r>
    <r>
      <rPr>
        <vertAlign val="subscript"/>
        <sz val="11"/>
        <color theme="1"/>
        <rFont val="Times New Roman"/>
        <family val="1"/>
        <charset val="204"/>
      </rPr>
      <t>p</t>
    </r>
    <r>
      <rPr>
        <sz val="11"/>
        <color theme="1"/>
        <rFont val="Times New Roman"/>
        <family val="1"/>
        <charset val="204"/>
      </rPr>
      <t xml:space="preserve">, </t>
    </r>
  </si>
  <si>
    <t xml:space="preserve">Qu – общее количество судебных решений, вступивших в законную силу в отчетном периоде и предусматривающих полное или частичное удовлетворение исковых требований к ГРБС, предъявленным в порядке субсидиарной ответственности по денежным обязательствам подведомственных ему получателей бюджетных средств </t>
  </si>
  <si>
    <t xml:space="preserve">Qp – общее количество судебных решений, вступивших в законную силу в отчетном периоде, по исковым требованиям к ГРБС, предъявленным в порядке субсидиарной ответственности по денежным обязательствам подведомственных ему получателей бюджетных средств </t>
  </si>
  <si>
    <t xml:space="preserve">Р = 100 х Qu / Qp, </t>
  </si>
  <si>
    <t>Su – общая сумма исковых требований в денежном выражении, определенная судом к взысканию по судебным решениям, вступившим в законную силу в отчетном периоде, по исковым требованиям о взыскании с участников бюджетного процесса, подведомственных ГРБС, по принятым ими как получателями бюджетных средств денежным обязательствам</t>
  </si>
  <si>
    <t xml:space="preserve">Sp – общая сумма заявленных исковых требований в денежном выражении, указанных в судебных решениях, вступивших в законную силу в отчетном периоде, по исковым требованиям о взыскании с участников бюджетного процесса, подведомственных ГРБС, по принятым ими как получателями бюджетных средств денежным обязательствам </t>
  </si>
  <si>
    <t>Р = 100 х Su / Sp,</t>
  </si>
  <si>
    <t>Qu – общее количество судебных решений, вступивших в законную силу в отчетном периоде и предусматривающих полное или частичное удовлетворение исковых требований о взыскании с участников бюджетного процесса, подведомственных ГРБС, по принятым ими как получателями бюджетных средств денежным обязательствам</t>
  </si>
  <si>
    <t xml:space="preserve">Qp – общее количество судебных решений, вступивших в законную силу в отчетном периоде, по исковым требованиям о взыскании с участников бюджетного процесса, подведомственных ГРБС, по принятым ими как получателями бюджетных средств денежным обязательствам </t>
  </si>
  <si>
    <t>Р = 100 х Qu / Qp</t>
  </si>
  <si>
    <t>Р – количество направленных Финансовым управлением уведомлений о приостановлении операций по расходованию средств на лицевых счетах, открытых в Финансовом управлении, подведомственных ГРБС получателей средств бюджета, БУ и АУ в отчетном периоде</t>
  </si>
  <si>
    <t>Р</t>
  </si>
  <si>
    <t>Вес группы
 в оценке/ показателя
в группе   
(в %)                    Если Р=0, то Е=1   Если Р&gt;0, то Е=0</t>
  </si>
  <si>
    <t xml:space="preserve">S – сумма, подлежащая взысканию по поступившим с начала финансового года исполнительным документам, решениям налогового органа о взыскании налога, сбора, пеней и штрафов
предъявляемым к ГРБС, к БУ и АУ по состоянию на конец отчетного периода
</t>
  </si>
  <si>
    <t xml:space="preserve">Е  - кассовое исполнение расходов ГРБС в отчетном периоде и исполнение расходов БУ и АУ  </t>
  </si>
  <si>
    <t>тыс.руб</t>
  </si>
  <si>
    <t>штук</t>
  </si>
  <si>
    <t>КИО Администрации Катав-Ивановского муниципального района</t>
  </si>
  <si>
    <t>"КСП Катав-Ивановского муниципального района"</t>
  </si>
  <si>
    <t>УКХ, ТиС</t>
  </si>
  <si>
    <t>УФКИС АДМИНИСТРАЦИИ КИМР</t>
  </si>
  <si>
    <t>УСЗН Администрации Катав-Ивановского муниципального района</t>
  </si>
  <si>
    <t>ОИО Катав-Ивановского городского поселения</t>
  </si>
  <si>
    <t>Совет депутатов Юрюзанского городского поселения</t>
  </si>
  <si>
    <t>МКУ "КГХ"</t>
  </si>
  <si>
    <t>Администрация Бедярышского сельского поселения</t>
  </si>
  <si>
    <t>Администрация Верх-Катавского сельского поселения</t>
  </si>
  <si>
    <t>Администрация Лесного сельского поселения</t>
  </si>
  <si>
    <t>Администрация Месединского сельского поселения</t>
  </si>
  <si>
    <t>Администрация Орловского сельского поселения</t>
  </si>
  <si>
    <t>Администрация Серпиевского сельского поселения</t>
  </si>
  <si>
    <t>Администрация Тюлюкского сельского поселения</t>
  </si>
  <si>
    <t>итого</t>
  </si>
  <si>
    <t>* - показатель не рассчитывается, ввиду отсутствия у ГРБС подведомственных получателей бюджетных средств и (или) подведоственных бюджетных учреждений</t>
  </si>
  <si>
    <t>6.1</t>
  </si>
  <si>
    <t>6.2</t>
  </si>
  <si>
    <t>6.3</t>
  </si>
  <si>
    <t>6.4</t>
  </si>
  <si>
    <t>6.5</t>
  </si>
  <si>
    <t>6.6</t>
  </si>
  <si>
    <t>6.7</t>
  </si>
  <si>
    <t>Свод по приложению 4 Раздел 6 "Итогового рейтинга за 2025 год"</t>
  </si>
  <si>
    <t>Расчет показателя 2.10.                                                                             Доля не принятых к исполнению заявок на оплату расходов при санкционировании оплаты денежных обязательств ГРБС</t>
  </si>
  <si>
    <r>
      <t xml:space="preserve">Количество отказов по заявкам на оплату расходов в отчетном периоде (шт.),             </t>
    </r>
    <r>
      <rPr>
        <b/>
        <sz val="10"/>
        <rFont val="Times New Roman"/>
        <family val="1"/>
        <charset val="204"/>
      </rPr>
      <t>No</t>
    </r>
  </si>
  <si>
    <r>
      <t xml:space="preserve">Общее количество заявок на оплату расходов ГРБС (шт.),                                </t>
    </r>
    <r>
      <rPr>
        <b/>
        <sz val="10"/>
        <rFont val="Times New Roman"/>
        <family val="1"/>
        <charset val="204"/>
      </rPr>
      <t>N</t>
    </r>
  </si>
  <si>
    <t xml:space="preserve">Объем принятых бюджетных обязательств на поставку товаров, оказание услуг, выполнение работ для муниципальных нужд ГРБС и подведомственных казенных учреждений (тыс. рублей),    </t>
  </si>
  <si>
    <t>БО</t>
  </si>
  <si>
    <t>ЛБО</t>
  </si>
  <si>
    <t>Р = 100 х БО / ЛБО, %</t>
  </si>
  <si>
    <t>Р = 100 х No / N,      %</t>
  </si>
  <si>
    <t xml:space="preserve">Расчет показателя 2.11.                            Принятие бюджетных обязательств                   </t>
  </si>
  <si>
    <t xml:space="preserve">Расчет показателя 2.12.             Качество планирования закупок Е(Р) = 1,  если Р ≤ 30;
Е(Р) = 0,8,  если 30 &lt; Р ≤ 40;
Е(Р) = 0,6,  если 40 &lt; Р ≤ 55;
Е(Р) = 0,4, если 55 &lt; Р ≤ 77;
Е(Р) = 0,2,  если 77 &lt; Р ≤ 100;
Е(Р) = 0,  если Р &gt; 100
</t>
  </si>
  <si>
    <t>Большое количество изменений в план-график закупок свидетельствует о низком качестве работы ГРБС по планированию закупок. Позитивно расценивается минимальное количетво изменений в план-график.                       Индикатор расчитывается ежегодно</t>
  </si>
  <si>
    <t>"15" мая 2026 г. </t>
  </si>
  <si>
    <t>показатель 2.14                                    Соблюдение графика завершения финансового года</t>
  </si>
  <si>
    <r>
      <t>расчет показателя,             %                  Р = N</t>
    </r>
    <r>
      <rPr>
        <vertAlign val="subscript"/>
        <sz val="10"/>
        <rFont val="Times New Roman"/>
        <family val="1"/>
        <charset val="204"/>
      </rPr>
      <t>1</t>
    </r>
  </si>
  <si>
    <r>
      <t>Количество заявок на оплату расходов и заявок на выплату средств, представленных ГРБС и подведомственными муниципальными учреждениями в декабре отчетного финансового года с нарушением утвержденного срока завершения финансового года (единиц),                 N</t>
    </r>
    <r>
      <rPr>
        <vertAlign val="subscript"/>
        <sz val="12"/>
        <rFont val="Times New Roman"/>
        <family val="1"/>
        <charset val="204"/>
      </rPr>
      <t>1</t>
    </r>
  </si>
  <si>
    <t xml:space="preserve">Показатель позволяет оценить объем неисполненного на конец отчетного периода утвержденного кассового плана (за счет средств местного бюджета без учета расходов за счет средств дотации по отдельным распоряжениям Правительства Челябинской области).
Целевым ориентиром является значение показателя 100%. Показатель рассчитывается ежегодно
</t>
  </si>
  <si>
    <t xml:space="preserve">Положительно рассматривается отсутствие роста расходов на содержание органов местного самоуправления в объеме собственных доходов Катав-Ивановского муниципального округа. Целевым ориентиром является значение показателя, равное 100% и менее.
Показатель рассчитывается ежегодно
</t>
  </si>
  <si>
    <t xml:space="preserve">Большое количество отказов по заявкам на оплату расходов свидетельствует о низком качестве подготовки документов на оплату расходов. Целевым ориентиром является значение индикатора 0.
Индикатор рассчитывается ежегодно
</t>
  </si>
  <si>
    <t xml:space="preserve">Показатель отражает риски неисполнения бюджетных ассигнований в текущем финансовом году в связи с несвоевременным заключением муниципальных контрактов на поставку товаров, оказание услуг, выполнение работ для обеспечения муниципальных нужд. Целевым ориентиром является значение индикатора 100%.
Показатель рассчитывается ежегодно
</t>
  </si>
  <si>
    <t xml:space="preserve">2.7. Эффективность управления дебиторской задолженностью по расчетам с бюджетом (определяется уменьшение или
увеличение объема дебиторской задолженности)
</t>
  </si>
  <si>
    <t xml:space="preserve">Негативным считается факт роста дебиторской задолженности по расчетам с бюджетом по состоянию на 1 января года, следующего за отчетным, по отношению к объему дебиторской задолженности на 1 января отчетного года.
Целевым ориентиром является снижение дебиторской задолженности на отчетную дату.
Показатель рассчитывается ежегодно
</t>
  </si>
  <si>
    <t xml:space="preserve">2.6. Эффективность управления дебиторской задолженностью по расчетам с поставщиками и подрядчиками (определяется уменьшение или увеличение объема дебиторской задолженности)
</t>
  </si>
  <si>
    <t xml:space="preserve">Негативным считается факт роста дебиторской задолженности по расчетам с поставщиками и подрядчиками по состоянию на 1 января года, следующего за отчетным, по отношению к объему дебиторской задолженности на 1 января отчетного года. Целевым ориентиром является снижение дебиторской задолженности на отчетную дату.
Показатель рассчитывается ежегодно
</t>
  </si>
  <si>
    <t>2.5. Эффективность управления дебиторской задолженностью по расчетам с поставщиками и подрядчиками</t>
  </si>
  <si>
    <t xml:space="preserve">2.4. Эффективность управления кредиторской задолженностью с поставщиками и подрядчиками (определяется уменьшение или увеличение объема кредиторской задолженности)
</t>
  </si>
  <si>
    <t xml:space="preserve">Негативным считается факт роста кредиторской задолженности по расчетам с поставщиками и подрядчиками по состоянию на 1 января года, следующего за отчетным, по отношению к объему кредиторской задолженности на 1 января отчетного года. Целевым ориентиром является снижение кредиторской задолженности на отчетную дату.
Показатель рассчитывается ежегодно
</t>
  </si>
  <si>
    <t>2.3. Эффективность управления кредиторской задолженностью по расчетам с поставщиками и подрядчиками</t>
  </si>
  <si>
    <t xml:space="preserve">Показатель отражает равномерность расходов ГРБС в отчетном (текущем) финансовом году. Целевым ориентиром для ГРБС является значение показателя, при котором кассовые расходы в IV квартале достигают менее трети годовых расходов.
Показатель рассчитывается ежегодно
</t>
  </si>
  <si>
    <t xml:space="preserve">Показатель позволяет оценить объем неисполненных на конец года бюджетных ассигнований за счет средств целевых межбюджетных трансфертов. Целевым ориентиром для ГРБС является значение показателя, равное 0%.
Показатель рассчитывается ежегодно
</t>
  </si>
  <si>
    <t>2.14. Соблюдение графика завершения финансового года</t>
  </si>
  <si>
    <t xml:space="preserve">Наличие заявок на оплату расходов, заявок на выплату средств с нарушением утвержденных графиком завершения финансового года предельных сроков представления документов свидетельствует о низком качестве организации работы по завершению финансового года. Целевым ориентиром является значение индикатора 0.
Индикатор рассчитывается ежегодно
</t>
  </si>
  <si>
    <t xml:space="preserve"> оценка показателя                    Е = 1,  если Р = 0;
Е = 0,  если Р &gt; 0
</t>
  </si>
  <si>
    <t>10.</t>
  </si>
  <si>
    <t>Сумма бюджетных ассигнований на реализацию расходных обязательств ГРБС в очередном финансовом году и плановом периоде, рассчитанных с использованием метода индексации</t>
  </si>
  <si>
    <t>11.</t>
  </si>
  <si>
    <t>12.</t>
  </si>
  <si>
    <t>13.</t>
  </si>
  <si>
    <t>14.</t>
  </si>
  <si>
    <t>15.</t>
  </si>
  <si>
    <t>16.</t>
  </si>
  <si>
    <t>17.</t>
  </si>
  <si>
    <r>
      <t>Количество мероприятий (пунктов) Графика подготовки и рассмотрения материалов, необходимых для составления проекта решения о бюджете (далее - График), выполненных с нарушением сроков, S</t>
    </r>
    <r>
      <rPr>
        <vertAlign val="subscript"/>
        <sz val="11"/>
        <color theme="1"/>
        <rFont val="Times New Roman"/>
        <family val="1"/>
        <charset val="204"/>
      </rPr>
      <t>I</t>
    </r>
  </si>
  <si>
    <t>Количество мероприятий (пунктов) Графика, подлежащих выполнению главным распорядителем средств (далее - ГРБС), S</t>
  </si>
  <si>
    <t>1.2. Соблюдение графика представления материалов, необходимых для формирования проекта бюджета на очередной финансовый год и плановый период, утвержденного Постановлением Администрации Катав-Ивановского муниципального района</t>
  </si>
  <si>
    <t>Значение индикатора характеризует соблюдение графика представления материалов, необходимых для формирования проекта бюджета на очередной финансовый год и плановый период, утвержденного Постановлением Администрации Катав-Ивановского муниципального района. 
Целевым ориентиром является значение индикатора 0.
Индикатор  рассчитывается ежегодно</t>
  </si>
  <si>
    <t>Общее количество расходных обязательств ГРБС, подлежащих исполнению в очередном финансовом году и плановом периоде, N</t>
  </si>
  <si>
    <r>
      <t>Количество расходных обязательств ГРБС на очередной финансовый год и плановый период, для которых не указано хотя бы одно из следующих полей: реквизиты, срок действия нормативного правового акта, являющегося основанием для возникновения расходного обязательства, коды классификации расходов бюджета, по которым предусмотрены ассигнования на исполнение расходного обязательства, код методики расчета расходов, и (или) в указанные поля внесены изменения при проверке Финансовым управлением представленного фрагмента расходного обязательства, N</t>
    </r>
    <r>
      <rPr>
        <vertAlign val="subscript"/>
        <sz val="11"/>
        <color theme="1"/>
        <rFont val="Times New Roman"/>
        <family val="1"/>
        <charset val="204"/>
      </rPr>
      <t>0</t>
    </r>
  </si>
  <si>
    <t xml:space="preserve">Общая сумма бюджетных ассигнований ГРБС на очередной финансовый год и плановый период, для которых в обоснованиях бюджетных ассигнований представлены показатели непосредственных результатов деятельности (независимо от того, соответствуют они Методическим рекомендациям или нет) </t>
  </si>
  <si>
    <r>
      <t xml:space="preserve">Общая сумма бюджетных ассигнований ГРБС на очередной финансовый год и плановый период, представленная в обоснованиях бюджетных ассигнований на очередной финансовый год и плановый период, </t>
    </r>
    <r>
      <rPr>
        <b/>
        <sz val="11"/>
        <color theme="1"/>
        <rFont val="Times New Roman"/>
        <family val="1"/>
        <charset val="204"/>
      </rPr>
      <t xml:space="preserve"> (Si - приложене 13)</t>
    </r>
  </si>
  <si>
    <t>Общая сумма  предельных объемов бюджетных ассигнований ГРБС на очередной финансовый год и плановый период, доведенных Финансовым управлением при составлении проекта  бюджета на очередной финансовый год и плановый период, (S - приложение 13)</t>
  </si>
  <si>
    <r>
      <t xml:space="preserve">расчет показателя 1.2. ( по прил. 12) </t>
    </r>
    <r>
      <rPr>
        <sz val="12"/>
        <rFont val="Times New Roman"/>
        <family val="1"/>
        <charset val="204"/>
      </rPr>
      <t>Соблюдение графика представления материалов, необходимых для формирования проекта бюджета на очередной финансовый год и плановый период, утвержденного Постановлением Администрации Катав-Ивановского муниципального округа</t>
    </r>
  </si>
  <si>
    <t xml:space="preserve">Значение показателя характеризует, насколько полно ГРБС обосновал объемы бюджетных ассигнований, доведенные до него Финансовым управлением при составлении проекта бюджета на очередной финансовый год и плановый период, показателями непосредственных результатов (пояснительными записками).
Целевым ориентиром для ГРБС является значение показателя, равное 100%
</t>
  </si>
  <si>
    <t xml:space="preserve">Значение показателя характеризует, насколько полно ГРБС обосновал объемы предварительных проектировок бюджетных ассигнований на очередной финансовый год и плановый период.
Целевым ориентиром для ГРБС является значение показателя, равное 100%
</t>
  </si>
  <si>
    <t>Общая сумма предварительных проектировок бюджетных ассигнований на очередной финансовый год и плановый период, предоставленных ГРБС в ходе составления проекта бюджета на очередной финансовый год и плановый период, (S)</t>
  </si>
  <si>
    <r>
      <t>Общая сумма предельных объемов бюджетных ассигнований ГРБС на очередной финансовый год и плановый период, доведенных Финансовым управлением при составлении проекта бюджета на очередной финансовый год и плановый период за счет средств местного бюджета, (S</t>
    </r>
    <r>
      <rPr>
        <vertAlign val="subscript"/>
        <sz val="11"/>
        <color theme="1"/>
        <rFont val="Times New Roman"/>
        <family val="1"/>
        <charset val="204"/>
      </rPr>
      <t>i</t>
    </r>
    <r>
      <rPr>
        <sz val="11"/>
        <color theme="1"/>
        <rFont val="Times New Roman"/>
        <family val="1"/>
        <charset val="204"/>
      </rPr>
      <t>)</t>
    </r>
  </si>
  <si>
    <r>
      <t xml:space="preserve">расчет показателя 2.3.(прил. № 13)                                                   </t>
    </r>
    <r>
      <rPr>
        <sz val="12"/>
        <color theme="1"/>
        <rFont val="Times New Roman"/>
        <family val="1"/>
        <charset val="204"/>
      </rPr>
      <t>Охват предварительных проектировок бюджетных ассигнований на очередной финансовый год и плановый период проектировками предельных объемов бюджетных ассигнований на очередной финансовый год и плановый период, доведенных Финансовым управлением в ходе составления проекта бюджета на очередной финансовый год и плановый период</t>
    </r>
  </si>
  <si>
    <r>
      <t xml:space="preserve">оценка показателя 2.3.                                                     </t>
    </r>
    <r>
      <rPr>
        <sz val="12"/>
        <color theme="1"/>
        <rFont val="Times New Roman"/>
        <family val="1"/>
        <charset val="204"/>
      </rPr>
      <t>Е(Р) = 1, если  90% ≤ Р ≤100%;
Е(Р) = 0,7, если 80% ≤ Р &lt; 90%;
Е(Р) = 0,5, если 70% ≤ Р &lt; 80%;
Е(Р) = 0,если Р &lt; 70% или Si &gt; S</t>
    </r>
    <r>
      <rPr>
        <b/>
        <sz val="12"/>
        <color theme="1"/>
        <rFont val="Times New Roman"/>
        <family val="1"/>
        <charset val="204"/>
      </rPr>
      <t xml:space="preserve">
</t>
    </r>
  </si>
  <si>
    <t xml:space="preserve">2.4. Обоснование предварительных проектировок бюджетных ассигнований на очередной финансовый год и плановый период по расходам на бюджетные инвестиции (за исключением ПСД), ремонт муниципального имущества (зданий, дорог, объектов коммунального хозяйства и благоустройства, и др.) проектной сметной документацией и проектами смет расходов на ремонт </t>
  </si>
  <si>
    <t xml:space="preserve">Значение показателя характеризует, насколько полно ГРБС обосновал объемы предварительных проектировок бюджетных ассигнований на очередной финансовый год и плановый период по расходам на бюджетные инвестиции, ремонт муниципального имущества.
Целевым ориентиром для ГРБС является значение показателя, равное 100%
</t>
  </si>
  <si>
    <r>
      <t xml:space="preserve">расчет показателя 2.4. (прил. № 13)                                                                </t>
    </r>
    <r>
      <rPr>
        <sz val="11"/>
        <color theme="1"/>
        <rFont val="Times New Roman"/>
        <family val="1"/>
        <charset val="204"/>
      </rPr>
      <t>Обоснование предварительных проектировок бюджетных ассигнований на очередной финансовый год и плановый период по расходам на бюджетные инвестиции (за исключением ПСД), ремонт муниципального имущества (зданий, дорог, объектов коммунального хозяйства и благоустройства, и др.) проектной сметной документацией и проектами смет расходов на ремонт</t>
    </r>
  </si>
  <si>
    <t>Общая сумма предварительных проектировок бюджетных ассигнований на очередной финансовый год и плановый период, предоставленных ГРБС в ходе составления проекта бюджета на очередной финансовый год и плановый период по расходам на бюджетные инвестиции (за исключением ПСД), ремонт муниципального имущества, обоснованных проектно – сметной документацией и проектами смет расходов на ремонт, (S - п. 2.4)</t>
  </si>
  <si>
    <t>Общая сумма проектировок предельных объемов бюджетных ассигнований на очередной финансовый год и плановый период, доведенных Финансовым управлением до ГРБС, по расходам на бюджетные инвестиции (за исключением ПСД), ремонт муниципального имущества за счет средств местного бюджета, (Si - п. 2.4)</t>
  </si>
  <si>
    <t>90% ≤ Р ≤100%</t>
  </si>
  <si>
    <t>90% ≤ Р ≤ 100%</t>
  </si>
  <si>
    <r>
      <t xml:space="preserve">критерии оценки показателя 2.4.                                            </t>
    </r>
    <r>
      <rPr>
        <sz val="12"/>
        <color theme="1"/>
        <rFont val="Times New Roman"/>
        <family val="1"/>
        <charset val="204"/>
      </rPr>
      <t>Е(Р) = 1, если  90% ≤ Р ≤100%;
Е(Р) = 0,7, если 80% ≤ Р &lt; 90%;
Е(Р) = 0,5, если 70% ≤ Р &lt; 80%;
Е(Р) = 0,если Р &lt; 70% или Si &gt; S</t>
    </r>
  </si>
  <si>
    <t>Р &lt; 70%</t>
  </si>
  <si>
    <t>Оценка показателя 1.2. ( по прил. 12)</t>
  </si>
  <si>
    <r>
      <rPr>
        <b/>
        <sz val="9"/>
        <rFont val="Times New Roman"/>
        <family val="1"/>
        <charset val="204"/>
      </rPr>
      <t>Стоимость материальных запасов ГРБС и подведомственных казенных учреждений по состоянию на 01.01.2025 г. (J0)</t>
    </r>
    <r>
      <rPr>
        <sz val="9"/>
        <rFont val="Times New Roman"/>
        <family val="1"/>
        <charset val="204"/>
      </rPr>
      <t xml:space="preserve"> (Баланс
(код формы по ОКУД 0503130))</t>
    </r>
  </si>
  <si>
    <r>
      <rPr>
        <b/>
        <sz val="9"/>
        <rFont val="Times New Roman"/>
        <family val="1"/>
        <charset val="204"/>
      </rPr>
      <t xml:space="preserve">Стоимость материальных запасов ГРБС и подведомственных казенных учреждений по состоянию на 01.01.2026 г. (J1) </t>
    </r>
    <r>
      <rPr>
        <sz val="9"/>
        <rFont val="Times New Roman"/>
        <family val="1"/>
        <charset val="204"/>
      </rPr>
      <t>(Баланс
(код формы по ОКУД 0503130))</t>
    </r>
  </si>
  <si>
    <t>таблица 4 - Расчет показателей по направлению "Контроль и аудит"</t>
  </si>
  <si>
    <t>Негативно расценивается рост стоимости материальных запасов ГРБС за отчетный год. 
Целевым ориентиром является значение показателя менее 10%.
Индикатор рассчитывается ежегодно</t>
  </si>
  <si>
    <t>таблица 1</t>
  </si>
  <si>
    <t>таблица 2 - Расчет показателей 2.3., 2.4. "Эффектвность управления  кредиторской задолженностью по расчетам с поставщиками и подрядчиками"</t>
  </si>
  <si>
    <t>таблица 3 - Расчет показателей 2.5., 2.6. "Эффектвность управления  дебиторской задолженностью по расчетам с поставщиками и подрядчиками"                                                                                                                                                                                                                                                                                                Расчет показателя 2.7. "Эффективность управления дебиторской задолженностью по расчетам с бюджетом"</t>
  </si>
  <si>
    <r>
      <rPr>
        <b/>
        <sz val="9"/>
        <rFont val="Times New Roman"/>
        <family val="1"/>
        <charset val="204"/>
      </rPr>
      <t xml:space="preserve">Объем дебиторской задолженности по состоянию на 01.01.2025 г. (D отч) </t>
    </r>
    <r>
      <rPr>
        <sz val="9"/>
        <rFont val="Times New Roman"/>
        <family val="1"/>
        <charset val="204"/>
      </rPr>
      <t>(Сведения об объеме дебиторской задолженности по доходам по (код формы по ОКУД 0503169))</t>
    </r>
  </si>
  <si>
    <r>
      <rPr>
        <b/>
        <sz val="9"/>
        <rFont val="Times New Roman"/>
        <family val="1"/>
        <charset val="204"/>
      </rPr>
      <t xml:space="preserve">Объем дебиторской задолженности по состоянию на 01.01.2026 г. (D) </t>
    </r>
    <r>
      <rPr>
        <sz val="9"/>
        <rFont val="Times New Roman"/>
        <family val="1"/>
        <charset val="204"/>
      </rPr>
      <t>(Сведения об объеме дебиторской задолженности по доходам по (код формы по ОКУД 0503169))</t>
    </r>
  </si>
  <si>
    <r>
      <t>Р                                     если Rp&gt; Rf           P=((Rp-Rf)/Rp)*100
 если Rp</t>
    </r>
    <r>
      <rPr>
        <u/>
        <sz val="10"/>
        <rFont val="Times New Roman"/>
        <family val="1"/>
        <charset val="204"/>
      </rPr>
      <t>&lt;</t>
    </r>
    <r>
      <rPr>
        <sz val="10"/>
        <rFont val="Times New Roman"/>
        <family val="1"/>
        <charset val="204"/>
      </rPr>
      <t xml:space="preserve"> Rf                       P=((Rf-Rp)/Rp)*100
 </t>
    </r>
  </si>
  <si>
    <t xml:space="preserve">Оценка Е1                                 Е1 = 0,5, если P1 = 0;
E1 = 0,2, если 0 &lt; P1&lt; 15%;
E1 = 0, если P1 &gt; 15% 
или Rf = 0 и D ≠ 0;
</t>
  </si>
  <si>
    <t xml:space="preserve">Оценка Е2                                  E2 = 0,5, если P2 &lt; 100% или
D = 0 и D(отч) ≥ 0;
E2 = 0,2, если P2 = 100 %;
E2 = 0, если P2 &gt; 100% 
или D &gt; 0 и D(отч.) = 0
</t>
  </si>
  <si>
    <t>Сводная оценка Е=Е1+Е2 п.3.3</t>
  </si>
  <si>
    <t>0                                                          (Rf = 0 и D ≠ 0)</t>
  </si>
  <si>
    <t>Негативным считается факт накопления значительного объема просроченной дебиторской задолженности по расчетам с дебиторами по доходам по состоянию на 1 января года, следующего за отчетным, по отношению к кассовому исполнению по доходам в отчетном финансовом году. Целевым ориентиром для индикатора P1 является значение 0. Целевым ориентиром для индикатора P2 является значение менее 100 %. Индикатор рассчитывается  ежегодно</t>
  </si>
  <si>
    <t>* нет нормативов формирования фонда оплаты труда депутатов, выборных должностных лиц местного самоуправления, осуществляющих свои полномочия на постоянной основе, и муниципальных служащих</t>
  </si>
  <si>
    <r>
      <rPr>
        <b/>
        <sz val="9"/>
        <rFont val="Times New Roman"/>
        <family val="1"/>
        <charset val="204"/>
      </rPr>
      <t>Объем кредиторской задолженности по расчетам с поставщиками и подрядчиками по состоянию на 01.01.2025 г. (К</t>
    </r>
    <r>
      <rPr>
        <b/>
        <sz val="8"/>
        <rFont val="Times New Roman"/>
        <family val="1"/>
        <charset val="204"/>
      </rPr>
      <t>0</t>
    </r>
    <r>
      <rPr>
        <b/>
        <sz val="9"/>
        <rFont val="Times New Roman"/>
        <family val="1"/>
        <charset val="204"/>
      </rPr>
      <t>)</t>
    </r>
    <r>
      <rPr>
        <sz val="9"/>
        <rFont val="Times New Roman"/>
        <family val="1"/>
        <charset val="204"/>
      </rPr>
      <t xml:space="preserve"> (Сведения об объеме  кредиторской задолженности по расходам (код формы по ОКУД 0503169)) (расчеты по принятым обязательствам (счет 30200))  </t>
    </r>
  </si>
  <si>
    <r>
      <rPr>
        <b/>
        <sz val="9"/>
        <rFont val="Times New Roman"/>
        <family val="1"/>
        <charset val="204"/>
      </rPr>
      <t>Объем кредиторской задолженности по расчетам с поставщиками и подрядчиками по состоянию на 01.01.2025 г. (К</t>
    </r>
    <r>
      <rPr>
        <b/>
        <sz val="8"/>
        <rFont val="Times New Roman"/>
        <family val="1"/>
        <charset val="204"/>
      </rPr>
      <t>0</t>
    </r>
    <r>
      <rPr>
        <b/>
        <sz val="9"/>
        <rFont val="Times New Roman"/>
        <family val="1"/>
        <charset val="204"/>
      </rPr>
      <t>)</t>
    </r>
    <r>
      <rPr>
        <sz val="9"/>
        <rFont val="Times New Roman"/>
        <family val="1"/>
        <charset val="204"/>
      </rPr>
      <t xml:space="preserve">  (Сведения об объеме  кредиторской задолженности по расходам (код формы по ОКУД 0503769)) (расчеты по принятым обязательствам (счет 30200))  </t>
    </r>
  </si>
  <si>
    <r>
      <rPr>
        <b/>
        <sz val="9"/>
        <rFont val="Times New Roman"/>
        <family val="1"/>
        <charset val="204"/>
      </rPr>
      <t>Объем кредиторской задолженности по расчетам с поставщиками и подрядчиками по состоянию на 01.01.2026г. (К</t>
    </r>
    <r>
      <rPr>
        <b/>
        <sz val="8"/>
        <rFont val="Times New Roman"/>
        <family val="1"/>
        <charset val="204"/>
      </rPr>
      <t>1</t>
    </r>
    <r>
      <rPr>
        <b/>
        <sz val="9"/>
        <rFont val="Times New Roman"/>
        <family val="1"/>
        <charset val="204"/>
      </rPr>
      <t>)</t>
    </r>
    <r>
      <rPr>
        <sz val="9"/>
        <rFont val="Times New Roman"/>
        <family val="1"/>
        <charset val="204"/>
      </rPr>
      <t xml:space="preserve"> (Сведения об объеме  кредиторской задолженности по расходам (код формы по ОКУД 0503169)) (расчеты по принятым обязательствам (счет 30200))  </t>
    </r>
  </si>
  <si>
    <r>
      <rPr>
        <b/>
        <sz val="9"/>
        <rFont val="Times New Roman"/>
        <family val="1"/>
        <charset val="204"/>
      </rPr>
      <t>Объем кредиторской задолженности по расчетам с поставщиками и подрядчиками по состоянию на 01.01.2026 г. (К</t>
    </r>
    <r>
      <rPr>
        <b/>
        <sz val="8"/>
        <rFont val="Times New Roman"/>
        <family val="1"/>
        <charset val="204"/>
      </rPr>
      <t>1</t>
    </r>
    <r>
      <rPr>
        <b/>
        <sz val="9"/>
        <rFont val="Times New Roman"/>
        <family val="1"/>
        <charset val="204"/>
      </rPr>
      <t xml:space="preserve">) </t>
    </r>
    <r>
      <rPr>
        <sz val="9"/>
        <rFont val="Times New Roman"/>
        <family val="1"/>
        <charset val="204"/>
      </rPr>
      <t xml:space="preserve">(Сведения об объеме  кредиторской задолженности по расходам (код формы по ОКУД 0503769)) (расчеты по принятым обязательствам (счет 30200))  </t>
    </r>
  </si>
  <si>
    <r>
      <rPr>
        <b/>
        <sz val="9"/>
        <rFont val="Times New Roman"/>
        <family val="1"/>
        <charset val="204"/>
      </rPr>
      <t>Оценка Р2.3.</t>
    </r>
    <r>
      <rPr>
        <sz val="9"/>
        <rFont val="Times New Roman"/>
        <family val="1"/>
        <charset val="204"/>
      </rPr>
      <t xml:space="preserve">                               Е = 1– Р/100, если Р ≤ 1,5%;
E = 0, если P &gt; 1,5%
</t>
    </r>
  </si>
  <si>
    <r>
      <rPr>
        <b/>
        <sz val="9"/>
        <rFont val="Times New Roman"/>
        <family val="1"/>
        <charset val="204"/>
      </rPr>
      <t xml:space="preserve">Оценка Р2.4.  </t>
    </r>
    <r>
      <rPr>
        <sz val="9"/>
        <rFont val="Times New Roman"/>
        <family val="1"/>
        <charset val="204"/>
      </rPr>
      <t xml:space="preserve">                             Е = 1, если Р = - 100 % или К1 = 0 и К0  = 0;
Е = 0,5, если Р &lt; 0%
Е = 0,2, если Р = 0%
Е = 0, если  Р &gt; 0%  или  К1 ˃ 0 и  К0  = 0;
</t>
    </r>
  </si>
  <si>
    <r>
      <rPr>
        <b/>
        <sz val="9"/>
        <rFont val="Times New Roman"/>
        <family val="1"/>
        <charset val="204"/>
      </rPr>
      <t>Объем дебиторской задолженности по расчетам с бюджетом по состоянию на 01.01.2026 г. (D</t>
    </r>
    <r>
      <rPr>
        <b/>
        <sz val="8"/>
        <rFont val="Times New Roman"/>
        <family val="1"/>
        <charset val="204"/>
      </rPr>
      <t>1</t>
    </r>
    <r>
      <rPr>
        <b/>
        <sz val="9"/>
        <rFont val="Times New Roman"/>
        <family val="1"/>
        <charset val="204"/>
      </rPr>
      <t xml:space="preserve">) </t>
    </r>
    <r>
      <rPr>
        <sz val="9"/>
        <rFont val="Times New Roman"/>
        <family val="1"/>
        <charset val="204"/>
      </rPr>
      <t xml:space="preserve">(Сведения об объеме дебиторской задолженности по расходам (код формы по ОКУД 0503769))  (расчеты по выданным авансам (счет 30300))
</t>
    </r>
  </si>
  <si>
    <r>
      <rPr>
        <b/>
        <sz val="9"/>
        <rFont val="Times New Roman"/>
        <family val="1"/>
        <charset val="204"/>
      </rPr>
      <t>Объем дебиторской задолженности по расчетам с бюджетом по состоянию на 01.01.2025 г. (D</t>
    </r>
    <r>
      <rPr>
        <b/>
        <sz val="8"/>
        <rFont val="Times New Roman"/>
        <family val="1"/>
        <charset val="204"/>
      </rPr>
      <t>0</t>
    </r>
    <r>
      <rPr>
        <b/>
        <sz val="9"/>
        <rFont val="Times New Roman"/>
        <family val="1"/>
        <charset val="204"/>
      </rPr>
      <t>)</t>
    </r>
    <r>
      <rPr>
        <sz val="9"/>
        <rFont val="Times New Roman"/>
        <family val="1"/>
        <charset val="204"/>
      </rPr>
      <t xml:space="preserve">  (Сведения об объеме дебиторской задолженности по расходам (код формы по ОКУД 0503769)) (расчеты по выданным авансам (счет 30300))
</t>
    </r>
  </si>
  <si>
    <r>
      <rPr>
        <b/>
        <sz val="9"/>
        <rFont val="Times New Roman"/>
        <family val="1"/>
        <charset val="204"/>
      </rPr>
      <t>Объем дебиторской задолженности по расчетам с поставщиками и подрядчиками по состоянию на 01.01.2025г. (D</t>
    </r>
    <r>
      <rPr>
        <b/>
        <sz val="8"/>
        <rFont val="Times New Roman"/>
        <family val="1"/>
        <charset val="204"/>
      </rPr>
      <t>0</t>
    </r>
    <r>
      <rPr>
        <b/>
        <sz val="9"/>
        <rFont val="Times New Roman"/>
        <family val="1"/>
        <charset val="204"/>
      </rPr>
      <t>)</t>
    </r>
    <r>
      <rPr>
        <sz val="9"/>
        <rFont val="Times New Roman"/>
        <family val="1"/>
        <charset val="204"/>
      </rPr>
      <t xml:space="preserve">  (Сведения об объеме дебиторской задолженности по расходам (код формы по ОКУД 0503769)) (расчеты по выданным авансам (счет 20600))
</t>
    </r>
  </si>
  <si>
    <r>
      <rPr>
        <b/>
        <sz val="9"/>
        <rFont val="Times New Roman"/>
        <family val="1"/>
        <charset val="204"/>
      </rPr>
      <t>Объем дебиторской задолженности по расчетам с поставщиками и подрядчиками по состоянию на 01.01.2025г. (D</t>
    </r>
    <r>
      <rPr>
        <b/>
        <sz val="8"/>
        <rFont val="Times New Roman"/>
        <family val="1"/>
        <charset val="204"/>
      </rPr>
      <t>0</t>
    </r>
    <r>
      <rPr>
        <b/>
        <sz val="9"/>
        <rFont val="Times New Roman"/>
        <family val="1"/>
        <charset val="204"/>
      </rPr>
      <t xml:space="preserve">)    </t>
    </r>
    <r>
      <rPr>
        <sz val="9"/>
        <rFont val="Times New Roman"/>
        <family val="1"/>
        <charset val="204"/>
      </rPr>
      <t>(Сведения об объеме дебиторской задолженности по расходам (код формы по ОКУД 0503169)) (расчеты по выданным авансам (счет 20600))</t>
    </r>
  </si>
  <si>
    <r>
      <rPr>
        <b/>
        <sz val="9"/>
        <rFont val="Times New Roman"/>
        <family val="1"/>
        <charset val="204"/>
      </rPr>
      <t>Объем дебиторской задолженности по расчетам с бюджетом по состоянию на 01.01.2026 г. (D</t>
    </r>
    <r>
      <rPr>
        <b/>
        <sz val="8"/>
        <rFont val="Times New Roman"/>
        <family val="1"/>
        <charset val="204"/>
      </rPr>
      <t>1</t>
    </r>
    <r>
      <rPr>
        <b/>
        <sz val="9"/>
        <rFont val="Times New Roman"/>
        <family val="1"/>
        <charset val="204"/>
      </rPr>
      <t>)</t>
    </r>
    <r>
      <rPr>
        <sz val="9"/>
        <rFont val="Times New Roman"/>
        <family val="1"/>
        <charset val="204"/>
      </rPr>
      <t xml:space="preserve">    (Сведения об объеме дебиторской задолженности по расходам (код формы по ОКУД 0503169))  (расчеты по выданным авансам (счет 30300))</t>
    </r>
  </si>
  <si>
    <r>
      <rPr>
        <b/>
        <sz val="9"/>
        <rFont val="Times New Roman"/>
        <family val="1"/>
        <charset val="204"/>
      </rPr>
      <t>Объем дебиторской задолженности по расчетам с поставщиками и подрядчиками по состоянию на 01.01.2026 г. (D</t>
    </r>
    <r>
      <rPr>
        <b/>
        <sz val="8"/>
        <rFont val="Times New Roman"/>
        <family val="1"/>
        <charset val="204"/>
      </rPr>
      <t>1</t>
    </r>
    <r>
      <rPr>
        <b/>
        <sz val="9"/>
        <rFont val="Times New Roman"/>
        <family val="1"/>
        <charset val="204"/>
      </rPr>
      <t xml:space="preserve">) </t>
    </r>
    <r>
      <rPr>
        <sz val="9"/>
        <rFont val="Times New Roman"/>
        <family val="1"/>
        <charset val="204"/>
      </rPr>
      <t xml:space="preserve">(Сведения об объеме дебиторской задолженности по расходам (код формы по ОКУД 0503769))  (расчеты по выданным авансам (счет 20600))
</t>
    </r>
  </si>
  <si>
    <r>
      <rPr>
        <b/>
        <sz val="9"/>
        <rFont val="Times New Roman"/>
        <family val="1"/>
        <charset val="204"/>
      </rPr>
      <t>Объем дебиторской задолженности по расчетам с поставщиками и подрядчиками по состоянию на 01.01.2026 г. (D</t>
    </r>
    <r>
      <rPr>
        <b/>
        <sz val="8"/>
        <rFont val="Times New Roman"/>
        <family val="1"/>
        <charset val="204"/>
      </rPr>
      <t>1</t>
    </r>
    <r>
      <rPr>
        <b/>
        <sz val="9"/>
        <rFont val="Times New Roman"/>
        <family val="1"/>
        <charset val="204"/>
      </rPr>
      <t>)</t>
    </r>
    <r>
      <rPr>
        <sz val="9"/>
        <rFont val="Times New Roman"/>
        <family val="1"/>
        <charset val="204"/>
      </rPr>
      <t xml:space="preserve">    (Сведения об объеме дебиторской задолженности по расходам (код формы по ОКУД 0503169))  (расчеты по выданным авансам (счет 20600))</t>
    </r>
  </si>
  <si>
    <r>
      <rPr>
        <b/>
        <sz val="9"/>
        <rFont val="Times New Roman"/>
        <family val="1"/>
        <charset val="204"/>
      </rPr>
      <t>Объем дебиторской задолженности по расчетам с бюджетом по состоянию на 01.01.2025 г. (D</t>
    </r>
    <r>
      <rPr>
        <b/>
        <sz val="8"/>
        <rFont val="Times New Roman"/>
        <family val="1"/>
        <charset val="204"/>
      </rPr>
      <t>0</t>
    </r>
    <r>
      <rPr>
        <b/>
        <sz val="9"/>
        <rFont val="Times New Roman"/>
        <family val="1"/>
        <charset val="204"/>
      </rPr>
      <t xml:space="preserve">)    </t>
    </r>
    <r>
      <rPr>
        <sz val="9"/>
        <rFont val="Times New Roman"/>
        <family val="1"/>
        <charset val="204"/>
      </rPr>
      <t>(Сведения об объеме дебиторской задолженности по расходам (код формы по ОКУД 0503169)) (расчеты по выданным авансам (счет 30300))</t>
    </r>
  </si>
  <si>
    <r>
      <rPr>
        <b/>
        <sz val="9"/>
        <rFont val="Times New Roman"/>
        <family val="1"/>
        <charset val="204"/>
      </rPr>
      <t>Оценка Р2.5.</t>
    </r>
    <r>
      <rPr>
        <sz val="9"/>
        <rFont val="Times New Roman"/>
        <family val="1"/>
        <charset val="204"/>
      </rPr>
      <t xml:space="preserve">                                Е = 1- Р/100, если Р ≤ 1,5 %;
Е = 0, если Р &gt; 1,5 %
</t>
    </r>
  </si>
  <si>
    <r>
      <rPr>
        <b/>
        <sz val="9"/>
        <rFont val="Times New Roman"/>
        <family val="1"/>
        <charset val="204"/>
      </rPr>
      <t>Оценка Р2.6.</t>
    </r>
    <r>
      <rPr>
        <sz val="9"/>
        <rFont val="Times New Roman"/>
        <family val="1"/>
        <charset val="204"/>
      </rPr>
      <t xml:space="preserve">                               Е = 1, если Р = - 100% или Д1 = 0 и Д0 = 0;
Е = 0,5, если Р &lt; 0;
Е = 0,2, если Р = 0;
Е = 0, если Р &gt; 0 или Д1 ˃ 0 и 
Д0 = 0;
</t>
    </r>
  </si>
  <si>
    <r>
      <rPr>
        <b/>
        <sz val="9"/>
        <rFont val="Times New Roman"/>
        <family val="1"/>
        <charset val="204"/>
      </rPr>
      <t xml:space="preserve">Оценка Р2.7.   </t>
    </r>
    <r>
      <rPr>
        <sz val="9"/>
        <rFont val="Times New Roman"/>
        <family val="1"/>
        <charset val="204"/>
      </rPr>
      <t xml:space="preserve">                               Е = 1, если Р = - 100% или Д1 = 0 и Д0 = 0;
Е = 0,5, если Р &lt; 0;
Е = 0,2, если Р = 0;
Е = 0, если Р &gt; 0 или Д1 ˃ 0 и 
Д0 = 0;</t>
    </r>
  </si>
  <si>
    <t>1.3. Процент  абсолютного отклонения утверждённого объёма налоговых и неналоговых доходов местного бюджета на очередной финансовый год от объёма соответствующего года при его утверждении на первый год планового периода в году, предшествующему отчётному году</t>
  </si>
  <si>
    <t>Количество обращений, предоставленных в отчетном периоде Главе района, согласованных с курирующими заместителями Главы  о выделении дополнительных средств бюджета при внесении изменений в решение о бюджете на текущий год, No</t>
  </si>
  <si>
    <t>Общее количество обращений, предоставленных в отчетном периоде Главе района, согласованных с курирующими заместителями Главы  о выделении дополнительных средств бюджета при внесении изменений в решение о бюджете на текущий год, N</t>
  </si>
  <si>
    <t>Первоначально утвержденный годовой плановый объем налоговых и неналоговых доходов бюджета на очередной финансовый год, Rp</t>
  </si>
  <si>
    <r>
      <t>Плановые объемы налоговых и неналоговых доходов по ГАДБ соответствующего года при его утверждении на первый год планового периода в году, предшествующему отчётному финансовому году, R</t>
    </r>
    <r>
      <rPr>
        <vertAlign val="subscript"/>
        <sz val="11"/>
        <rFont val="Times New Roman"/>
        <family val="1"/>
        <charset val="204"/>
      </rPr>
      <t>f</t>
    </r>
  </si>
  <si>
    <t>1.3. Процент абсолютного отклонения утверждённого объёма налоговых и неналоговых доходов местного бюджета на очередной финансовый год от объёма соответствующего года при его утверждении на первый год планового периода в году, предшествующему отчётному году</t>
  </si>
  <si>
    <t>Оценка показателя 1.3.</t>
  </si>
  <si>
    <t>P ≤  5 %</t>
  </si>
  <si>
    <t>5 % &lt; P &lt; 15 %</t>
  </si>
  <si>
    <t xml:space="preserve">Критерий оценки            E = 1 если P ≤  5 %, 
E = 0 если P ≥ 15 %,               
E = 0,5 
если 5 % &lt; P &lt; 15 %;
</t>
  </si>
  <si>
    <t>P ≥ 15 %</t>
  </si>
  <si>
    <r>
      <t xml:space="preserve">Р                                     если </t>
    </r>
    <r>
      <rPr>
        <b/>
        <sz val="10"/>
        <rFont val="Times New Roman"/>
        <family val="1"/>
        <charset val="204"/>
      </rPr>
      <t>Rp&gt; Rf</t>
    </r>
    <r>
      <rPr>
        <sz val="10"/>
        <rFont val="Times New Roman"/>
        <family val="1"/>
        <charset val="204"/>
      </rPr>
      <t xml:space="preserve">           P=100*((Rp-Rf)/Rf)
 если </t>
    </r>
    <r>
      <rPr>
        <b/>
        <sz val="10"/>
        <rFont val="Times New Roman"/>
        <family val="1"/>
        <charset val="204"/>
      </rPr>
      <t>Rp</t>
    </r>
    <r>
      <rPr>
        <b/>
        <u/>
        <sz val="10"/>
        <rFont val="Times New Roman"/>
        <family val="1"/>
        <charset val="204"/>
      </rPr>
      <t>&lt;</t>
    </r>
    <r>
      <rPr>
        <b/>
        <sz val="10"/>
        <rFont val="Times New Roman"/>
        <family val="1"/>
        <charset val="204"/>
      </rPr>
      <t xml:space="preserve"> Rf</t>
    </r>
    <r>
      <rPr>
        <sz val="10"/>
        <rFont val="Times New Roman"/>
        <family val="1"/>
        <charset val="204"/>
      </rPr>
      <t xml:space="preserve">                       P=100*((Rf-Rp)/Rf)
 </t>
    </r>
  </si>
  <si>
    <t>1.4. Качество планирования и организации исполнения расходов в текущем году</t>
  </si>
  <si>
    <t xml:space="preserve">Большое количество обращений на выделение средств бюджета после установленной даты контроля свидетельствует о несвоевременном и низком качестве подготовки документов.
Целевым ориентиром является значение индикатора 0. Показатель рассчитывается ежегодно
</t>
  </si>
  <si>
    <t xml:space="preserve">Оценка п.1.4.                    Е = 1,  если Р ≤ 10%;
Е = 0,5,  если 10% &lt; Р ≤ 30%;
Е = 0,  если Р &gt; 30%
</t>
  </si>
  <si>
    <t>Р = 100 х No / N,     %</t>
  </si>
  <si>
    <t>***** - отчетность сдается по поселению</t>
  </si>
  <si>
    <t>Р=100*Е/b,      %</t>
  </si>
  <si>
    <r>
      <rPr>
        <sz val="11"/>
        <rFont val="Times New Roman"/>
        <family val="1"/>
        <charset val="204"/>
      </rPr>
      <t>Оценка показателя 2.1.</t>
    </r>
    <r>
      <rPr>
        <b/>
        <sz val="10"/>
        <rFont val="Times New Roman"/>
        <family val="1"/>
        <charset val="204"/>
      </rPr>
      <t xml:space="preserve"> </t>
    </r>
    <r>
      <rPr>
        <sz val="10"/>
        <rFont val="Times New Roman"/>
        <family val="1"/>
        <charset val="204"/>
      </rPr>
      <t xml:space="preserve">                  Если Р &lt; 95 %   то Е=0     
Если Р = 100 %  то Е=1     
если 100&lt;P&gt;95 %   то Е=Р/100
</t>
    </r>
  </si>
  <si>
    <t xml:space="preserve">2.8. Освоение
утвержденного  кассового плана  за счет средств местного бюджета без учета расходов за счет средств дотации по отдельным распоряжениям Правительства Челябинской области),                Р=100*Е/К,       %
</t>
  </si>
  <si>
    <t>Утвержденный кассовый план на отчетный период, тыс. рублей (за счет средств местного бюджета без учета расходов за счет средств дотации по отдельным распоряжениям Правительства Челябинской области),                                                 К</t>
  </si>
  <si>
    <t>за 2025 г. (за счет средств местного бюджета без учета расходов за счет средств дотации по отдельным распоряжениям Правительства Челябинской области),                 Е</t>
  </si>
  <si>
    <t xml:space="preserve">2.8. Освоение утвержденного  кассового плана  (за счет средств местного бюджета без учета расходов за счет средств дотации по отдельным распоряжениям Правительства Челябинской области)
</t>
  </si>
  <si>
    <t>Е, кассовые расходы в IV квартале отчетного периода (без учета расходов за счет средств целевых поступлений из федерального бюджета и областного бюджета, дотации по отдельным распоряжениям Правительства Челябинской области)</t>
  </si>
  <si>
    <t>4 кв. 2025 г.(кассовые расходы в IV квартале отчетного периода (без учета расходов за счет средств целевых поступлений из федерального бюджета и областного бюджета, дотации по отдельным распоряжениям Правительства Челябинской области)</t>
  </si>
  <si>
    <t>9 мес. 2025 г.(кассовые расходы за I-III квартал отчетного периода (без учета расходов за счет средств целевых поступлений из федерального бюджета и областного бюджета, дотации по отдельным распоряжениям Правительства Челябинской области) )</t>
  </si>
  <si>
    <t>Е ср, средний объем кассовых расходов за I-III квартал отчетного периода (без учета расходов за счет средств целевых поступлений из федерального бюджета и областного бюджета, дотации по отдельным распоряжениям Правительства Челябинской области)</t>
  </si>
  <si>
    <r>
      <rPr>
        <b/>
        <sz val="11"/>
        <rFont val="Times New Roman"/>
        <family val="1"/>
        <charset val="204"/>
      </rPr>
      <t xml:space="preserve">Оценка показателя 2.2.    </t>
    </r>
    <r>
      <rPr>
        <b/>
        <sz val="10"/>
        <rFont val="Times New Roman"/>
        <family val="1"/>
        <charset val="204"/>
      </rPr>
      <t xml:space="preserve">       </t>
    </r>
    <r>
      <rPr>
        <sz val="10"/>
        <rFont val="Times New Roman"/>
        <family val="1"/>
        <charset val="204"/>
      </rPr>
      <t xml:space="preserve">         Е=1, если Р≤50%                     Е=0, если Р&gt;100%                  Е=1-((Р-50)/50) если 50&lt;P≤100%</t>
    </r>
  </si>
  <si>
    <t>в отчетном финансовом году,                 A</t>
  </si>
  <si>
    <t>в году, предшествующем отчетному,             C</t>
  </si>
  <si>
    <t>*** отсутствуют расходы на содержание органов местного самоуправления</t>
  </si>
  <si>
    <t>***</t>
  </si>
  <si>
    <t>из формулы вычесть  max (229,4) и min (117,4) значения и разделить на 22</t>
  </si>
  <si>
    <t xml:space="preserve">Приложение № 3                                                                                                            к Порядку проведения мониторинга качества финансового менеджмента в отношении главных распорядителей бюджетных средств, главных администраторов доходов бюджета Катав-Ивановского муниципального округа
от 30.12.2025г № 233
</t>
  </si>
  <si>
    <t>умножаем вес 1 и 2 раздела Итогового рейтинга на коэффициент</t>
  </si>
  <si>
    <t>ГРБС,  доля расходов которых в общем объеме расходов бюджета выше среднего значения относительно общего числа ГРБС:
Е = 0,
если Р &lt; 97%</t>
  </si>
  <si>
    <t>ГРБС,  доля расходов которых в общем объеме расходов бюджета выше среднего значения относительно общего числа ГРБС:
Е = 1,
если Р ≥ 97%</t>
  </si>
  <si>
    <t>ГРБС,  имеющий подведомственнsе казенные учреждения:
Е = 0,
если Р &lt; 97%</t>
  </si>
  <si>
    <t>ГРБС,  имеющий подведомственнsе казенные учреждения:
Е = 1,
если Р ≥ 97%</t>
  </si>
  <si>
    <t xml:space="preserve">ГРБС,  доля расходов которых в общем объеме расходов бюджета выше среднего значения относительно общего числа ГРБС   Е = 0,
если Р&lt;97%;
</t>
  </si>
  <si>
    <t xml:space="preserve">ГРБС,  доля расходов которых в общем объеме расходов бюджета выше среднего значения относительно общего числа ГРБС Е = 0,
если Р&lt;97%;
</t>
  </si>
  <si>
    <t>таблица 3</t>
  </si>
  <si>
    <t>средняя</t>
  </si>
  <si>
    <t>II</t>
  </si>
  <si>
    <t>низкая</t>
  </si>
  <si>
    <t>III</t>
  </si>
  <si>
    <t>удовлетворительная</t>
  </si>
  <si>
    <t>не присвоена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</si>
</sst>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р_._-;\-* #,##0.00_р_._-;_-* &quot;-&quot;??_р_._-;_-@_-"/>
    <numFmt numFmtId="165" formatCode="0.0"/>
    <numFmt numFmtId="166" formatCode="0.000"/>
    <numFmt numFmtId="167" formatCode="#,##0.0"/>
    <numFmt numFmtId="168" formatCode="#,##0.0_ ;[Red]\-#,##0.0\ "/>
    <numFmt numFmtId="169" formatCode="_-* #,##0.0\ _₽_-;\-* #,##0.0\ _₽_-;_-* &quot;-&quot;?\ _₽_-;_-@_-"/>
  </numFmts>
  <fonts count="79" x14ac:knownFonts="1">
    <font>
      <sz val="10"/>
      <name val="Arial Cyr"/>
      <charset val="204"/>
    </font>
    <font>
      <sz val="10"/>
      <name val="Arial Cyr"/>
      <charset val="204"/>
    </font>
    <font>
      <sz val="11"/>
      <name val="Times New Roman"/>
      <family val="1"/>
      <charset val="204"/>
    </font>
    <font>
      <b/>
      <sz val="11"/>
      <name val="Times New Roman"/>
      <family val="1"/>
      <charset val="204"/>
    </font>
    <font>
      <sz val="8"/>
      <name val="Arial Cyr"/>
      <charset val="204"/>
    </font>
    <font>
      <sz val="14"/>
      <name val="Times New Roman"/>
      <family val="1"/>
      <charset val="204"/>
    </font>
    <font>
      <sz val="10"/>
      <name val="Times New Roman"/>
      <family val="1"/>
      <charset val="204"/>
    </font>
    <font>
      <sz val="11"/>
      <name val="Arial Cyr"/>
    </font>
    <font>
      <sz val="10"/>
      <name val="Arial Cyr"/>
    </font>
    <font>
      <sz val="8"/>
      <name val="Arial Cyr"/>
    </font>
    <font>
      <b/>
      <sz val="14"/>
      <name val="Times New Roman"/>
      <family val="1"/>
      <charset val="204"/>
    </font>
    <font>
      <sz val="9"/>
      <name val="Times New Roman"/>
      <family val="1"/>
      <charset val="204"/>
    </font>
    <font>
      <sz val="12"/>
      <name val="Arial CYR"/>
    </font>
    <font>
      <b/>
      <sz val="10"/>
      <name val="Arial Cyr"/>
    </font>
    <font>
      <b/>
      <sz val="8"/>
      <name val="Arial CYR"/>
    </font>
    <font>
      <b/>
      <sz val="14"/>
      <color indexed="10"/>
      <name val="Times New Roman"/>
      <family val="1"/>
      <charset val="204"/>
    </font>
    <font>
      <b/>
      <i/>
      <sz val="11"/>
      <name val="Times New Roman"/>
      <family val="1"/>
      <charset val="204"/>
    </font>
    <font>
      <b/>
      <sz val="12"/>
      <name val="Times New Roman"/>
      <family val="1"/>
      <charset val="204"/>
    </font>
    <font>
      <sz val="12"/>
      <name val="Times New Roman"/>
      <family val="1"/>
      <charset val="204"/>
    </font>
    <font>
      <b/>
      <sz val="10"/>
      <name val="Times New Roman"/>
      <family val="1"/>
      <charset val="204"/>
    </font>
    <font>
      <sz val="13"/>
      <name val="Times New Roman"/>
      <family val="1"/>
      <charset val="204"/>
    </font>
    <font>
      <b/>
      <sz val="15"/>
      <name val="Times New Roman"/>
      <family val="1"/>
      <charset val="204"/>
    </font>
    <font>
      <sz val="15"/>
      <name val="Times New Roman"/>
      <family val="1"/>
      <charset val="204"/>
    </font>
    <font>
      <u/>
      <sz val="10"/>
      <name val="Times New Roman"/>
      <family val="1"/>
      <charset val="204"/>
    </font>
    <font>
      <sz val="10"/>
      <name val="Arial Narrow"/>
      <family val="2"/>
    </font>
    <font>
      <sz val="8"/>
      <name val="Times New Roman"/>
      <family val="1"/>
      <charset val="204"/>
    </font>
    <font>
      <sz val="8"/>
      <name val="Arial"/>
      <family val="2"/>
      <charset val="204"/>
    </font>
    <font>
      <sz val="12"/>
      <name val="Arial"/>
      <family val="2"/>
      <charset val="204"/>
    </font>
    <font>
      <b/>
      <sz val="8"/>
      <name val="Arial"/>
      <family val="2"/>
      <charset val="204"/>
    </font>
    <font>
      <sz val="11"/>
      <color theme="1"/>
      <name val="Times New Roman"/>
      <family val="1"/>
      <charset val="204"/>
    </font>
    <font>
      <sz val="10"/>
      <color theme="1"/>
      <name val="Times New Roman"/>
      <family val="1"/>
      <charset val="204"/>
    </font>
    <font>
      <b/>
      <sz val="11"/>
      <color theme="1"/>
      <name val="Times New Roman"/>
      <family val="1"/>
      <charset val="204"/>
    </font>
    <font>
      <sz val="14"/>
      <color theme="1"/>
      <name val="Times New Roman"/>
      <family val="1"/>
      <charset val="204"/>
    </font>
    <font>
      <b/>
      <sz val="14"/>
      <color theme="1"/>
      <name val="Times New Roman"/>
      <family val="1"/>
      <charset val="204"/>
    </font>
    <font>
      <sz val="9"/>
      <color theme="1"/>
      <name val="Times New Roman"/>
      <family val="1"/>
      <charset val="204"/>
    </font>
    <font>
      <u/>
      <sz val="11"/>
      <color theme="1"/>
      <name val="Times New Roman"/>
      <family val="1"/>
      <charset val="204"/>
    </font>
    <font>
      <sz val="14"/>
      <color theme="1"/>
      <name val="Calibri"/>
      <family val="2"/>
      <charset val="204"/>
      <scheme val="minor"/>
    </font>
    <font>
      <sz val="10"/>
      <color theme="0"/>
      <name val="Arial Cyr"/>
      <charset val="204"/>
    </font>
    <font>
      <sz val="12"/>
      <color theme="1"/>
      <name val="Times New Roman"/>
      <family val="1"/>
      <charset val="204"/>
    </font>
    <font>
      <vertAlign val="superscript"/>
      <sz val="15"/>
      <name val="Times New Roman"/>
      <family val="1"/>
      <charset val="204"/>
    </font>
    <font>
      <b/>
      <sz val="9"/>
      <name val="Times New Roman"/>
      <family val="1"/>
      <charset val="204"/>
    </font>
    <font>
      <b/>
      <sz val="8"/>
      <name val="Times New Roman"/>
      <family val="1"/>
      <charset val="204"/>
    </font>
    <font>
      <b/>
      <sz val="10"/>
      <name val="Arial Cyr"/>
      <charset val="204"/>
    </font>
    <font>
      <sz val="12"/>
      <name val="Arial Cyr"/>
      <charset val="204"/>
    </font>
    <font>
      <sz val="18"/>
      <name val="Times New Roman"/>
      <family val="1"/>
      <charset val="204"/>
    </font>
    <font>
      <sz val="16"/>
      <name val="Times New Roman"/>
      <family val="1"/>
      <charset val="204"/>
    </font>
    <font>
      <sz val="18"/>
      <name val="Arial Cyr"/>
      <charset val="204"/>
    </font>
    <font>
      <sz val="20"/>
      <name val="Times New Roman"/>
      <family val="1"/>
      <charset val="204"/>
    </font>
    <font>
      <b/>
      <sz val="16"/>
      <name val="Times New Roman"/>
      <family val="1"/>
      <charset val="204"/>
    </font>
    <font>
      <sz val="11"/>
      <color theme="0"/>
      <name val="Times New Roman"/>
      <family val="1"/>
      <charset val="204"/>
    </font>
    <font>
      <sz val="1"/>
      <name val="Times New Roman"/>
      <family val="1"/>
      <charset val="204"/>
    </font>
    <font>
      <sz val="6"/>
      <name val="Times New Roman"/>
      <family val="1"/>
      <charset val="204"/>
    </font>
    <font>
      <u/>
      <sz val="11"/>
      <name val="Times New Roman"/>
      <family val="1"/>
      <charset val="204"/>
    </font>
    <font>
      <b/>
      <sz val="20"/>
      <name val="Times New Roman"/>
      <family val="1"/>
      <charset val="204"/>
    </font>
    <font>
      <sz val="8.5"/>
      <name val="Times New Roman"/>
      <family val="1"/>
      <charset val="204"/>
    </font>
    <font>
      <sz val="26"/>
      <color theme="1"/>
      <name val="Times New Roman"/>
      <family val="1"/>
      <charset val="204"/>
    </font>
    <font>
      <b/>
      <sz val="16"/>
      <name val="Arial Cyr"/>
      <charset val="204"/>
    </font>
    <font>
      <b/>
      <sz val="12"/>
      <color theme="1"/>
      <name val="Times New Roman"/>
      <family val="1"/>
      <charset val="204"/>
    </font>
    <font>
      <sz val="12"/>
      <name val="Calibri"/>
      <family val="2"/>
      <charset val="204"/>
    </font>
    <font>
      <vertAlign val="superscript"/>
      <sz val="16"/>
      <name val="Times New Roman"/>
      <family val="1"/>
      <charset val="204"/>
    </font>
    <font>
      <sz val="16"/>
      <name val="Arial Cyr"/>
      <charset val="204"/>
    </font>
    <font>
      <sz val="16"/>
      <color theme="0"/>
      <name val="Times New Roman"/>
      <family val="1"/>
      <charset val="204"/>
    </font>
    <font>
      <b/>
      <sz val="17"/>
      <name val="Times New Roman"/>
      <family val="1"/>
      <charset val="204"/>
    </font>
    <font>
      <sz val="17"/>
      <name val="Times New Roman"/>
      <family val="1"/>
      <charset val="204"/>
    </font>
    <font>
      <sz val="14"/>
      <color theme="0"/>
      <name val="Arial Cyr"/>
      <charset val="204"/>
    </font>
    <font>
      <u/>
      <sz val="12"/>
      <name val="Times New Roman"/>
      <family val="1"/>
      <charset val="204"/>
    </font>
    <font>
      <b/>
      <sz val="16"/>
      <color rgb="FFFF0000"/>
      <name val="Times New Roman"/>
      <family val="1"/>
      <charset val="204"/>
    </font>
    <font>
      <sz val="11"/>
      <name val="Arial Cyr"/>
      <charset val="204"/>
    </font>
    <font>
      <sz val="11"/>
      <color rgb="FF000000"/>
      <name val="Times New Roman"/>
      <family val="1"/>
      <charset val="204"/>
    </font>
    <font>
      <b/>
      <u/>
      <sz val="11"/>
      <name val="Times New Roman"/>
      <family val="1"/>
      <charset val="204"/>
    </font>
    <font>
      <b/>
      <u/>
      <sz val="12"/>
      <name val="Times New Roman"/>
      <family val="1"/>
      <charset val="204"/>
    </font>
    <font>
      <vertAlign val="superscript"/>
      <sz val="14"/>
      <name val="Times New Roman"/>
      <family val="1"/>
      <charset val="204"/>
    </font>
    <font>
      <strike/>
      <sz val="10"/>
      <name val="Times New Roman"/>
      <family val="1"/>
      <charset val="204"/>
    </font>
    <font>
      <b/>
      <vertAlign val="subscript"/>
      <sz val="11"/>
      <color theme="1"/>
      <name val="Times New Roman"/>
      <family val="1"/>
      <charset val="204"/>
    </font>
    <font>
      <vertAlign val="subscript"/>
      <sz val="11"/>
      <color theme="1"/>
      <name val="Times New Roman"/>
      <family val="1"/>
      <charset val="204"/>
    </font>
    <font>
      <vertAlign val="subscript"/>
      <sz val="10"/>
      <name val="Times New Roman"/>
      <family val="1"/>
      <charset val="204"/>
    </font>
    <font>
      <vertAlign val="subscript"/>
      <sz val="12"/>
      <name val="Times New Roman"/>
      <family val="1"/>
      <charset val="204"/>
    </font>
    <font>
      <vertAlign val="subscript"/>
      <sz val="11"/>
      <name val="Times New Roman"/>
      <family val="1"/>
      <charset val="204"/>
    </font>
    <font>
      <b/>
      <u/>
      <sz val="10"/>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right/>
      <top style="medium">
        <color indexed="64"/>
      </top>
      <bottom/>
      <diagonal/>
    </border>
    <border>
      <left/>
      <right/>
      <top style="thin">
        <color indexed="64"/>
      </top>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style="medium">
        <color indexed="64"/>
      </bottom>
      <diagonal/>
    </border>
    <border>
      <left style="medium">
        <color rgb="FF000000"/>
      </left>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034">
    <xf numFmtId="0" fontId="0" fillId="0" borderId="0" xfId="0"/>
    <xf numFmtId="0" fontId="0" fillId="2" borderId="0" xfId="0" applyFill="1"/>
    <xf numFmtId="0" fontId="0" fillId="0" borderId="0" xfId="0" applyFill="1"/>
    <xf numFmtId="0" fontId="18" fillId="0" borderId="1" xfId="0" applyFont="1" applyFill="1" applyBorder="1" applyAlignment="1">
      <alignment horizontal="center"/>
    </xf>
    <xf numFmtId="0" fontId="17" fillId="0" borderId="23" xfId="0" applyFont="1" applyFill="1" applyBorder="1" applyAlignment="1">
      <alignment horizontal="right" wrapText="1"/>
    </xf>
    <xf numFmtId="0" fontId="18" fillId="0" borderId="1" xfId="0" applyFont="1" applyFill="1" applyBorder="1"/>
    <xf numFmtId="0" fontId="2" fillId="0" borderId="0" xfId="0" applyFont="1" applyFill="1"/>
    <xf numFmtId="0" fontId="6" fillId="0" borderId="0" xfId="0" applyFont="1" applyFill="1" applyAlignment="1">
      <alignment wrapText="1"/>
    </xf>
    <xf numFmtId="0" fontId="2" fillId="0" borderId="0" xfId="0" applyFont="1" applyFill="1" applyAlignment="1">
      <alignment horizontal="justify"/>
    </xf>
    <xf numFmtId="0" fontId="0" fillId="0" borderId="1" xfId="0" applyFill="1" applyBorder="1"/>
    <xf numFmtId="0" fontId="6" fillId="0" borderId="0" xfId="0" applyFont="1" applyFill="1"/>
    <xf numFmtId="0" fontId="6" fillId="0" borderId="0" xfId="0" applyFont="1" applyFill="1" applyBorder="1"/>
    <xf numFmtId="0" fontId="23" fillId="0" borderId="0" xfId="0" applyFont="1" applyFill="1" applyAlignment="1">
      <alignment horizontal="center"/>
    </xf>
    <xf numFmtId="0" fontId="11" fillId="0" borderId="0" xfId="0" applyFont="1" applyFill="1"/>
    <xf numFmtId="0" fontId="6" fillId="0" borderId="0" xfId="0" applyFont="1" applyFill="1" applyAlignment="1"/>
    <xf numFmtId="0" fontId="50" fillId="0" borderId="0" xfId="0" applyFont="1" applyFill="1"/>
    <xf numFmtId="0" fontId="51" fillId="0" borderId="0" xfId="0" applyFont="1" applyFill="1"/>
    <xf numFmtId="0" fontId="6" fillId="0" borderId="28" xfId="0" applyFont="1" applyFill="1" applyBorder="1" applyAlignment="1">
      <alignment horizontal="center" wrapText="1"/>
    </xf>
    <xf numFmtId="0" fontId="6" fillId="0" borderId="0" xfId="0" applyFont="1" applyFill="1" applyBorder="1" applyAlignment="1">
      <alignment horizontal="center"/>
    </xf>
    <xf numFmtId="0" fontId="6" fillId="0" borderId="28" xfId="0" applyFont="1" applyFill="1" applyBorder="1" applyAlignment="1">
      <alignment horizontal="center"/>
    </xf>
    <xf numFmtId="0" fontId="17" fillId="0" borderId="0" xfId="0" applyFont="1" applyFill="1"/>
    <xf numFmtId="0" fontId="6" fillId="0" borderId="0" xfId="0" applyFont="1" applyFill="1" applyAlignment="1">
      <alignment horizontal="left" indent="15"/>
    </xf>
    <xf numFmtId="0" fontId="10" fillId="0" borderId="0" xfId="0" applyFont="1" applyFill="1" applyAlignment="1">
      <alignment horizontal="center" wrapText="1"/>
    </xf>
    <xf numFmtId="0" fontId="2" fillId="0" borderId="0" xfId="0" applyFont="1" applyFill="1" applyAlignment="1">
      <alignment horizontal="right" vertical="top" wrapText="1"/>
    </xf>
    <xf numFmtId="0" fontId="47" fillId="0" borderId="0" xfId="0" applyFont="1" applyFill="1" applyAlignment="1">
      <alignment horizontal="center" vertical="center"/>
    </xf>
    <xf numFmtId="0" fontId="47" fillId="0" borderId="0" xfId="0" applyFont="1" applyFill="1" applyAlignment="1"/>
    <xf numFmtId="0" fontId="26" fillId="0" borderId="0" xfId="0" applyFont="1" applyFill="1" applyAlignment="1">
      <alignment horizontal="right" vertical="top" wrapText="1"/>
    </xf>
    <xf numFmtId="0" fontId="26" fillId="0" borderId="0" xfId="0" applyFont="1" applyFill="1" applyAlignment="1">
      <alignment horizontal="right"/>
    </xf>
    <xf numFmtId="0" fontId="10" fillId="0" borderId="0" xfId="0" applyFont="1" applyFill="1" applyAlignment="1">
      <alignment horizontal="center" vertical="top" wrapText="1"/>
    </xf>
    <xf numFmtId="0" fontId="53" fillId="0" borderId="0" xfId="0" applyFont="1" applyFill="1" applyAlignment="1">
      <alignment horizontal="center" vertical="top" wrapText="1"/>
    </xf>
    <xf numFmtId="0" fontId="2" fillId="0" borderId="0" xfId="0" applyFont="1" applyFill="1" applyAlignment="1">
      <alignment horizontal="center" vertical="top" wrapText="1"/>
    </xf>
    <xf numFmtId="0" fontId="2" fillId="0" borderId="0" xfId="0" applyFont="1" applyFill="1" applyBorder="1" applyAlignment="1">
      <alignment vertical="top" wrapText="1"/>
    </xf>
    <xf numFmtId="0" fontId="47" fillId="0" borderId="0" xfId="0" applyFont="1" applyFill="1" applyBorder="1" applyAlignment="1">
      <alignment horizontal="center" vertical="top" wrapText="1"/>
    </xf>
    <xf numFmtId="0" fontId="44" fillId="0" borderId="0" xfId="0" applyFont="1" applyFill="1" applyBorder="1" applyAlignment="1">
      <alignment horizontal="center" wrapText="1"/>
    </xf>
    <xf numFmtId="0" fontId="44" fillId="0" borderId="0" xfId="0" applyFont="1" applyFill="1" applyBorder="1" applyAlignment="1">
      <alignment horizontal="center"/>
    </xf>
    <xf numFmtId="0" fontId="55" fillId="0" borderId="0" xfId="0" applyFont="1" applyFill="1" applyBorder="1" applyAlignment="1">
      <alignment horizontal="center" vertical="top" wrapText="1"/>
    </xf>
    <xf numFmtId="0" fontId="44" fillId="0" borderId="0" xfId="0" applyFont="1" applyFill="1" applyAlignment="1">
      <alignment vertical="top" wrapText="1"/>
    </xf>
    <xf numFmtId="0" fontId="44" fillId="0" borderId="0" xfId="0" applyFont="1" applyFill="1" applyBorder="1"/>
    <xf numFmtId="0" fontId="42" fillId="0" borderId="0" xfId="0" applyFont="1" applyFill="1"/>
    <xf numFmtId="0" fontId="44" fillId="0" borderId="0" xfId="0" applyFont="1" applyFill="1" applyAlignment="1">
      <alignment horizontal="justify"/>
    </xf>
    <xf numFmtId="0" fontId="46" fillId="0" borderId="0" xfId="0" applyFont="1" applyFill="1"/>
    <xf numFmtId="0" fontId="44" fillId="0" borderId="0" xfId="0" applyFont="1" applyFill="1"/>
    <xf numFmtId="0" fontId="6" fillId="0" borderId="1" xfId="0" applyFont="1" applyFill="1" applyBorder="1"/>
    <xf numFmtId="0" fontId="0" fillId="0" borderId="0" xfId="0" applyFont="1" applyFill="1"/>
    <xf numFmtId="0" fontId="6"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6"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1" xfId="0" applyFont="1" applyFill="1" applyBorder="1" applyAlignment="1">
      <alignment horizontal="center" vertical="top" wrapText="1"/>
    </xf>
    <xf numFmtId="0" fontId="11" fillId="0" borderId="1" xfId="0" applyFont="1" applyFill="1" applyBorder="1" applyAlignment="1">
      <alignment horizontal="center" wrapText="1"/>
    </xf>
    <xf numFmtId="0" fontId="2" fillId="0" borderId="0" xfId="0" applyFont="1" applyFill="1" applyAlignment="1"/>
    <xf numFmtId="0" fontId="11" fillId="0" borderId="0" xfId="0" applyFont="1" applyFill="1"/>
    <xf numFmtId="0" fontId="2" fillId="0" borderId="0" xfId="0" applyFont="1" applyFill="1"/>
    <xf numFmtId="0" fontId="2" fillId="0" borderId="0" xfId="0" applyFont="1" applyFill="1" applyAlignment="1">
      <alignment horizontal="center"/>
    </xf>
    <xf numFmtId="0" fontId="2" fillId="0" borderId="0" xfId="0" applyFont="1" applyFill="1" applyAlignment="1">
      <alignment horizontal="right"/>
    </xf>
    <xf numFmtId="0" fontId="0" fillId="0" borderId="0" xfId="0" applyFill="1" applyAlignment="1">
      <alignment horizontal="center"/>
    </xf>
    <xf numFmtId="0" fontId="0" fillId="0" borderId="0" xfId="0" applyFill="1" applyAlignment="1"/>
    <xf numFmtId="49" fontId="24" fillId="0" borderId="1" xfId="0" applyNumberFormat="1" applyFont="1" applyFill="1" applyBorder="1" applyAlignment="1">
      <alignment horizontal="center" vertical="top" wrapText="1"/>
    </xf>
    <xf numFmtId="49" fontId="6" fillId="0" borderId="1" xfId="0" applyNumberFormat="1" applyFont="1" applyFill="1" applyBorder="1" applyAlignment="1">
      <alignment horizontal="center" vertical="top" wrapText="1"/>
    </xf>
    <xf numFmtId="0" fontId="29" fillId="0" borderId="3" xfId="0" applyFont="1" applyFill="1" applyBorder="1" applyAlignment="1">
      <alignment horizontal="center" vertical="top" wrapText="1"/>
    </xf>
    <xf numFmtId="0" fontId="29" fillId="0" borderId="3" xfId="0" applyFont="1" applyFill="1" applyBorder="1" applyAlignment="1">
      <alignment horizontal="center"/>
    </xf>
    <xf numFmtId="0" fontId="29" fillId="0" borderId="1" xfId="0" applyFont="1" applyFill="1" applyBorder="1" applyAlignment="1">
      <alignment horizontal="center" vertical="top" wrapText="1"/>
    </xf>
    <xf numFmtId="0" fontId="29" fillId="0" borderId="1" xfId="0" applyFont="1" applyFill="1" applyBorder="1" applyAlignment="1">
      <alignment vertical="top" wrapText="1"/>
    </xf>
    <xf numFmtId="0" fontId="30" fillId="0" borderId="1" xfId="0" applyFont="1" applyFill="1" applyBorder="1" applyAlignment="1">
      <alignment horizontal="center" vertical="top" wrapText="1"/>
    </xf>
    <xf numFmtId="0" fontId="32" fillId="0" borderId="1" xfId="0" applyFont="1" applyFill="1" applyBorder="1" applyAlignment="1">
      <alignment horizontal="center" vertical="top" wrapText="1"/>
    </xf>
    <xf numFmtId="0" fontId="54"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10" fillId="0" borderId="1" xfId="0" applyFont="1" applyFill="1" applyBorder="1" applyAlignment="1">
      <alignment horizontal="center" vertical="top" wrapText="1"/>
    </xf>
    <xf numFmtId="0" fontId="38" fillId="0" borderId="1" xfId="0" applyFont="1" applyFill="1" applyBorder="1" applyAlignment="1">
      <alignment vertical="top" wrapText="1"/>
    </xf>
    <xf numFmtId="169" fontId="0" fillId="0" borderId="0" xfId="0" applyNumberFormat="1" applyFill="1"/>
    <xf numFmtId="164" fontId="0" fillId="0" borderId="0" xfId="0" applyNumberFormat="1" applyFill="1"/>
    <xf numFmtId="0" fontId="29" fillId="0" borderId="14" xfId="0" applyFont="1" applyFill="1" applyBorder="1" applyAlignment="1">
      <alignment vertical="top" wrapText="1"/>
    </xf>
    <xf numFmtId="0" fontId="30" fillId="0" borderId="2" xfId="0" applyFont="1" applyFill="1" applyBorder="1" applyAlignment="1">
      <alignment horizontal="center" vertical="top" wrapText="1"/>
    </xf>
    <xf numFmtId="4" fontId="18" fillId="0" borderId="2" xfId="0" applyNumberFormat="1" applyFont="1" applyFill="1" applyBorder="1" applyAlignment="1">
      <alignment horizontal="center" vertical="top"/>
    </xf>
    <xf numFmtId="0" fontId="31" fillId="0" borderId="0" xfId="0" applyFont="1" applyFill="1" applyBorder="1" applyAlignment="1">
      <alignment horizontal="center"/>
    </xf>
    <xf numFmtId="0" fontId="0" fillId="0" borderId="0" xfId="0" applyFill="1" applyBorder="1"/>
    <xf numFmtId="0" fontId="29" fillId="0" borderId="0" xfId="0" applyFont="1" applyFill="1" applyAlignment="1"/>
    <xf numFmtId="0" fontId="35" fillId="0" borderId="0" xfId="0" applyFont="1" applyFill="1" applyAlignment="1"/>
    <xf numFmtId="0" fontId="34" fillId="0" borderId="0" xfId="0" applyFont="1" applyFill="1" applyAlignment="1"/>
    <xf numFmtId="0" fontId="29" fillId="0" borderId="0" xfId="0" applyFont="1" applyFill="1"/>
    <xf numFmtId="0" fontId="29" fillId="0" borderId="0" xfId="0" applyFont="1" applyFill="1" applyAlignment="1">
      <alignment horizontal="center"/>
    </xf>
    <xf numFmtId="0" fontId="2" fillId="0" borderId="0" xfId="0" applyFont="1" applyFill="1" applyAlignment="1">
      <alignment vertical="center"/>
    </xf>
    <xf numFmtId="0" fontId="6" fillId="0" borderId="0" xfId="0" applyFont="1" applyFill="1" applyAlignment="1">
      <alignment horizontal="right"/>
    </xf>
    <xf numFmtId="0" fontId="18" fillId="0" borderId="35" xfId="0" applyFont="1" applyFill="1" applyBorder="1" applyAlignment="1">
      <alignment horizontal="center" vertical="top" wrapText="1"/>
    </xf>
    <xf numFmtId="0" fontId="6" fillId="0" borderId="36" xfId="0" applyFont="1" applyFill="1" applyBorder="1" applyAlignment="1">
      <alignment horizontal="center" vertical="top" wrapText="1"/>
    </xf>
    <xf numFmtId="0" fontId="6" fillId="0" borderId="38" xfId="0" applyFont="1" applyFill="1" applyBorder="1" applyAlignment="1">
      <alignment horizontal="center" vertical="top" wrapText="1"/>
    </xf>
    <xf numFmtId="0" fontId="17" fillId="0" borderId="17" xfId="0" applyFont="1" applyFill="1" applyBorder="1" applyAlignment="1">
      <alignment vertical="top" wrapText="1"/>
    </xf>
    <xf numFmtId="0" fontId="17" fillId="0" borderId="38" xfId="0" applyFont="1" applyFill="1" applyBorder="1" applyAlignment="1">
      <alignment horizontal="right" vertical="top" wrapText="1"/>
    </xf>
    <xf numFmtId="0" fontId="0" fillId="0" borderId="0" xfId="0" applyFill="1" applyAlignment="1">
      <alignment vertical="center"/>
    </xf>
    <xf numFmtId="0" fontId="12" fillId="0" borderId="0" xfId="0" applyFont="1" applyFill="1" applyAlignment="1">
      <alignment vertical="center"/>
    </xf>
    <xf numFmtId="0" fontId="12" fillId="0" borderId="0" xfId="0" applyFont="1" applyFill="1" applyAlignment="1">
      <alignment horizontal="center" vertical="center"/>
    </xf>
    <xf numFmtId="0" fontId="9" fillId="0" borderId="0" xfId="0" applyFont="1" applyFill="1" applyAlignment="1">
      <alignment horizontal="center" vertical="center"/>
    </xf>
    <xf numFmtId="0" fontId="8" fillId="0" borderId="0" xfId="0" applyFont="1" applyFill="1" applyAlignment="1">
      <alignment horizontal="right" vertical="center" wrapText="1"/>
    </xf>
    <xf numFmtId="0" fontId="6" fillId="0" borderId="0" xfId="0" applyFont="1" applyFill="1" applyAlignment="1">
      <alignment horizontal="right" vertical="center" wrapText="1"/>
    </xf>
    <xf numFmtId="0" fontId="13" fillId="0" borderId="0" xfId="0" applyFont="1" applyFill="1" applyAlignment="1">
      <alignment vertical="center"/>
    </xf>
    <xf numFmtId="0" fontId="14" fillId="0" borderId="0" xfId="0" applyFont="1" applyFill="1" applyAlignment="1">
      <alignment vertical="center"/>
    </xf>
    <xf numFmtId="0" fontId="16" fillId="0" borderId="0" xfId="0" applyFont="1" applyFill="1" applyAlignment="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37" fillId="0" borderId="0" xfId="0" applyFont="1" applyFill="1"/>
    <xf numFmtId="0" fontId="2" fillId="0" borderId="1" xfId="0" applyFont="1" applyFill="1" applyBorder="1" applyAlignment="1">
      <alignment horizontal="center" vertical="center" wrapText="1"/>
    </xf>
    <xf numFmtId="4" fontId="37" fillId="0" borderId="0" xfId="0" applyNumberFormat="1" applyFont="1" applyFill="1" applyAlignment="1">
      <alignment vertical="center"/>
    </xf>
    <xf numFmtId="0" fontId="2" fillId="0" borderId="0" xfId="0" applyFont="1" applyFill="1" applyAlignment="1">
      <alignment vertical="center" wrapText="1"/>
    </xf>
    <xf numFmtId="167" fontId="37" fillId="0" borderId="0" xfId="0" applyNumberFormat="1" applyFont="1" applyFill="1" applyAlignment="1">
      <alignment vertical="center"/>
    </xf>
    <xf numFmtId="0" fontId="6" fillId="0" borderId="1" xfId="0" applyFont="1" applyFill="1" applyBorder="1" applyAlignment="1">
      <alignment horizontal="center" vertical="top"/>
    </xf>
    <xf numFmtId="4" fontId="6" fillId="0" borderId="1" xfId="0" applyNumberFormat="1" applyFont="1" applyFill="1" applyBorder="1" applyAlignment="1">
      <alignment horizontal="center" vertical="top"/>
    </xf>
    <xf numFmtId="166" fontId="6" fillId="0" borderId="1" xfId="0" applyNumberFormat="1" applyFont="1" applyFill="1" applyBorder="1" applyAlignment="1">
      <alignment horizontal="center" vertical="top"/>
    </xf>
    <xf numFmtId="2" fontId="6" fillId="0" borderId="1" xfId="0" applyNumberFormat="1" applyFont="1" applyFill="1" applyBorder="1" applyAlignment="1">
      <alignment horizontal="center" vertical="top"/>
    </xf>
    <xf numFmtId="0" fontId="7" fillId="0" borderId="0" xfId="0" applyFont="1" applyFill="1"/>
    <xf numFmtId="0" fontId="7" fillId="0" borderId="0" xfId="0" applyFont="1" applyFill="1" applyAlignment="1">
      <alignment horizontal="right"/>
    </xf>
    <xf numFmtId="0" fontId="8" fillId="0" borderId="0" xfId="0" applyFont="1" applyFill="1"/>
    <xf numFmtId="0" fontId="10" fillId="0" borderId="0" xfId="0" applyFont="1" applyFill="1" applyAlignment="1"/>
    <xf numFmtId="0" fontId="3" fillId="0" borderId="0" xfId="0" applyFont="1" applyFill="1" applyAlignment="1">
      <alignment horizontal="center"/>
    </xf>
    <xf numFmtId="0" fontId="2" fillId="0" borderId="0" xfId="0" applyFont="1" applyFill="1" applyBorder="1" applyAlignment="1">
      <alignment horizontal="center" vertical="top" wrapText="1"/>
    </xf>
    <xf numFmtId="165" fontId="2" fillId="0" borderId="0" xfId="0" applyNumberFormat="1" applyFont="1" applyFill="1" applyBorder="1" applyAlignment="1">
      <alignment horizontal="center" vertical="top" wrapText="1"/>
    </xf>
    <xf numFmtId="0" fontId="2" fillId="0" borderId="28" xfId="0" applyFont="1" applyFill="1" applyBorder="1" applyAlignment="1">
      <alignment horizontal="left"/>
    </xf>
    <xf numFmtId="0" fontId="2" fillId="0" borderId="28" xfId="0" applyFont="1" applyFill="1" applyBorder="1" applyAlignment="1">
      <alignment horizontal="center"/>
    </xf>
    <xf numFmtId="0" fontId="52" fillId="0" borderId="0" xfId="0" applyFont="1" applyFill="1" applyAlignment="1">
      <alignment horizontal="center"/>
    </xf>
    <xf numFmtId="0" fontId="2" fillId="0" borderId="0" xfId="0" applyFont="1" applyFill="1" applyAlignment="1">
      <alignment horizontal="left"/>
    </xf>
    <xf numFmtId="0" fontId="2" fillId="0" borderId="0" xfId="0" applyFont="1" applyFill="1" applyAlignment="1">
      <alignment horizontal="center"/>
    </xf>
    <xf numFmtId="0" fontId="2" fillId="0" borderId="0" xfId="0" applyFont="1" applyFill="1"/>
    <xf numFmtId="0" fontId="2" fillId="0" borderId="0" xfId="0" applyFont="1" applyFill="1" applyAlignment="1">
      <alignment horizontal="right"/>
    </xf>
    <xf numFmtId="0" fontId="6" fillId="0" borderId="0" xfId="0" applyFont="1" applyFill="1" applyAlignment="1">
      <alignment wrapText="1"/>
    </xf>
    <xf numFmtId="0" fontId="9" fillId="0" borderId="0" xfId="0" applyFont="1" applyFill="1" applyAlignment="1">
      <alignment horizontal="right"/>
    </xf>
    <xf numFmtId="0" fontId="2" fillId="0" borderId="0" xfId="0" applyFont="1" applyFill="1"/>
    <xf numFmtId="0" fontId="18" fillId="0" borderId="1" xfId="0" applyFont="1" applyFill="1" applyBorder="1" applyAlignment="1">
      <alignment horizontal="center" vertical="center"/>
    </xf>
    <xf numFmtId="0" fontId="2" fillId="0" borderId="1" xfId="0" applyFont="1" applyFill="1" applyBorder="1" applyAlignment="1">
      <alignment horizontal="center" wrapText="1"/>
    </xf>
    <xf numFmtId="0" fontId="6" fillId="0" borderId="1" xfId="0" applyFont="1" applyFill="1" applyBorder="1" applyAlignment="1">
      <alignment horizontal="center" wrapText="1"/>
    </xf>
    <xf numFmtId="0" fontId="6" fillId="0" borderId="1" xfId="0" applyFont="1" applyFill="1" applyBorder="1" applyAlignment="1">
      <alignment horizontal="center"/>
    </xf>
    <xf numFmtId="14" fontId="6" fillId="0" borderId="0" xfId="0" applyNumberFormat="1" applyFont="1" applyFill="1"/>
    <xf numFmtId="1" fontId="6" fillId="0" borderId="0" xfId="0" applyNumberFormat="1" applyFont="1" applyFill="1"/>
    <xf numFmtId="1" fontId="18" fillId="0" borderId="1" xfId="0" applyNumberFormat="1" applyFont="1" applyFill="1" applyBorder="1" applyAlignment="1">
      <alignment horizontal="center" vertical="top" wrapText="1"/>
    </xf>
    <xf numFmtId="1" fontId="18" fillId="0" borderId="1" xfId="0" applyNumberFormat="1" applyFont="1" applyFill="1" applyBorder="1" applyAlignment="1" applyProtection="1">
      <alignment horizontal="center" vertical="top" wrapText="1"/>
      <protection locked="0" hidden="1"/>
    </xf>
    <xf numFmtId="49" fontId="17" fillId="0" borderId="23" xfId="0" applyNumberFormat="1" applyFont="1" applyFill="1" applyBorder="1" applyAlignment="1">
      <alignment horizontal="center" vertical="top" wrapText="1"/>
    </xf>
    <xf numFmtId="49" fontId="17" fillId="0" borderId="1" xfId="0" applyNumberFormat="1" applyFont="1" applyFill="1" applyBorder="1" applyAlignment="1">
      <alignment horizontal="center" vertical="top" wrapText="1"/>
    </xf>
    <xf numFmtId="167" fontId="19" fillId="0" borderId="1" xfId="0" applyNumberFormat="1" applyFont="1" applyFill="1" applyBorder="1" applyAlignment="1">
      <alignment wrapText="1"/>
    </xf>
    <xf numFmtId="167" fontId="18" fillId="0" borderId="1" xfId="0" applyNumberFormat="1" applyFont="1" applyFill="1" applyBorder="1" applyAlignment="1">
      <alignment horizontal="center" vertical="center" wrapText="1"/>
    </xf>
    <xf numFmtId="4" fontId="6" fillId="0" borderId="0" xfId="0" applyNumberFormat="1" applyFont="1" applyFill="1" applyAlignment="1">
      <alignment horizontal="center" vertical="center"/>
    </xf>
    <xf numFmtId="0" fontId="17" fillId="0" borderId="0" xfId="0" applyFont="1" applyFill="1" applyAlignment="1">
      <alignment vertical="top" wrapText="1"/>
    </xf>
    <xf numFmtId="0" fontId="6" fillId="0" borderId="0" xfId="0" applyFont="1" applyFill="1" applyAlignment="1">
      <alignment vertical="top" wrapText="1"/>
    </xf>
    <xf numFmtId="0" fontId="6" fillId="0" borderId="0" xfId="0" applyFont="1" applyFill="1" applyBorder="1" applyAlignment="1">
      <alignment vertical="center" wrapText="1"/>
    </xf>
    <xf numFmtId="0" fontId="6" fillId="0" borderId="0" xfId="0" applyFont="1" applyFill="1" applyBorder="1" applyAlignment="1">
      <alignment vertical="center"/>
    </xf>
    <xf numFmtId="1" fontId="6" fillId="0" borderId="22" xfId="0" applyNumberFormat="1" applyFont="1" applyFill="1" applyBorder="1" applyAlignment="1">
      <alignment horizontal="center" vertical="center" wrapText="1"/>
    </xf>
    <xf numFmtId="0" fontId="6" fillId="0" borderId="0" xfId="0" applyFont="1" applyFill="1" applyAlignment="1">
      <alignment horizontal="center" vertical="center"/>
    </xf>
    <xf numFmtId="1" fontId="6" fillId="0" borderId="1" xfId="0" applyNumberFormat="1" applyFont="1" applyFill="1" applyBorder="1" applyAlignment="1">
      <alignment horizontal="center" vertical="top" wrapText="1"/>
    </xf>
    <xf numFmtId="1" fontId="6" fillId="0" borderId="1" xfId="0" applyNumberFormat="1" applyFont="1" applyFill="1" applyBorder="1" applyAlignment="1">
      <alignment horizontal="center" vertical="center" wrapText="1"/>
    </xf>
    <xf numFmtId="167" fontId="6" fillId="0" borderId="1" xfId="0" applyNumberFormat="1" applyFont="1" applyFill="1" applyBorder="1" applyAlignment="1">
      <alignment horizontal="center" vertical="center"/>
    </xf>
    <xf numFmtId="4" fontId="6" fillId="0" borderId="0" xfId="0" applyNumberFormat="1" applyFont="1" applyFill="1"/>
    <xf numFmtId="1" fontId="6" fillId="0" borderId="1" xfId="0" applyNumberFormat="1" applyFont="1" applyFill="1" applyBorder="1" applyAlignment="1" applyProtection="1">
      <alignment horizontal="center" vertical="top" wrapText="1"/>
      <protection locked="0" hidden="1"/>
    </xf>
    <xf numFmtId="1" fontId="6" fillId="0" borderId="1" xfId="0" applyNumberFormat="1" applyFont="1" applyFill="1" applyBorder="1" applyAlignment="1" applyProtection="1">
      <alignment horizontal="center" vertical="center" wrapText="1"/>
      <protection locked="0" hidden="1"/>
    </xf>
    <xf numFmtId="49" fontId="19" fillId="0" borderId="1" xfId="0" applyNumberFormat="1" applyFont="1" applyFill="1" applyBorder="1" applyAlignment="1">
      <alignment horizontal="center"/>
    </xf>
    <xf numFmtId="49" fontId="19" fillId="0" borderId="1" xfId="0" applyNumberFormat="1" applyFont="1" applyFill="1" applyBorder="1" applyAlignment="1">
      <alignment horizontal="center" vertical="center"/>
    </xf>
    <xf numFmtId="1" fontId="6" fillId="0" borderId="19" xfId="0"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167" fontId="19" fillId="0" borderId="1" xfId="0" applyNumberFormat="1" applyFont="1" applyFill="1" applyBorder="1" applyAlignment="1">
      <alignment horizontal="center" vertical="center" wrapText="1"/>
    </xf>
    <xf numFmtId="0" fontId="18" fillId="0" borderId="0" xfId="0" applyFont="1" applyFill="1" applyAlignment="1">
      <alignment horizontal="left"/>
    </xf>
    <xf numFmtId="4" fontId="6" fillId="0" borderId="1" xfId="0" applyNumberFormat="1" applyFont="1" applyFill="1" applyBorder="1" applyAlignment="1">
      <alignment horizontal="center" vertical="top" wrapText="1"/>
    </xf>
    <xf numFmtId="4" fontId="18" fillId="0" borderId="1"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wrapText="1"/>
    </xf>
    <xf numFmtId="0" fontId="6" fillId="0" borderId="18" xfId="0" applyFont="1" applyFill="1" applyBorder="1" applyAlignment="1">
      <alignment horizontal="center" vertical="top" wrapText="1"/>
    </xf>
    <xf numFmtId="0" fontId="18" fillId="0" borderId="0" xfId="0" applyFont="1" applyFill="1"/>
    <xf numFmtId="0" fontId="6" fillId="0" borderId="1" xfId="0" applyFont="1" applyFill="1" applyBorder="1" applyAlignment="1">
      <alignment horizontal="center" vertical="top" wrapText="1"/>
    </xf>
    <xf numFmtId="0" fontId="6" fillId="0" borderId="12" xfId="0" applyFont="1" applyFill="1" applyBorder="1" applyAlignment="1">
      <alignment horizontal="center" vertical="top" wrapText="1"/>
    </xf>
    <xf numFmtId="0" fontId="2" fillId="0" borderId="0" xfId="0" applyFont="1" applyFill="1"/>
    <xf numFmtId="0" fontId="2" fillId="0" borderId="2" xfId="0" applyFont="1" applyFill="1" applyBorder="1" applyAlignment="1">
      <alignment horizontal="center" vertical="top" wrapText="1"/>
    </xf>
    <xf numFmtId="0" fontId="3" fillId="0" borderId="4" xfId="0" applyFont="1" applyFill="1" applyBorder="1" applyAlignment="1">
      <alignment horizontal="center" vertical="top" wrapText="1"/>
    </xf>
    <xf numFmtId="0" fontId="2" fillId="0" borderId="4" xfId="0" applyFont="1" applyFill="1" applyBorder="1" applyAlignment="1">
      <alignment horizontal="justify" vertical="top" wrapText="1"/>
    </xf>
    <xf numFmtId="0" fontId="2" fillId="0" borderId="5" xfId="0" applyFont="1" applyFill="1" applyBorder="1" applyAlignment="1">
      <alignment horizontal="justify" vertical="top"/>
    </xf>
    <xf numFmtId="0" fontId="2" fillId="0" borderId="1" xfId="0" applyFont="1" applyFill="1" applyBorder="1" applyAlignment="1">
      <alignment horizontal="justify" vertical="top" wrapText="1"/>
    </xf>
    <xf numFmtId="0" fontId="2" fillId="0" borderId="30" xfId="0" applyFont="1" applyFill="1" applyBorder="1" applyAlignment="1">
      <alignment horizontal="justify" vertical="top" wrapText="1"/>
    </xf>
    <xf numFmtId="166" fontId="2" fillId="0" borderId="1" xfId="0" applyNumberFormat="1" applyFont="1" applyFill="1" applyBorder="1" applyAlignment="1">
      <alignment horizontal="justify" vertical="top" wrapText="1"/>
    </xf>
    <xf numFmtId="0" fontId="2" fillId="0" borderId="1" xfId="0" applyFont="1" applyFill="1" applyBorder="1" applyAlignment="1">
      <alignment vertical="top" wrapText="1"/>
    </xf>
    <xf numFmtId="0" fontId="2" fillId="0" borderId="0" xfId="0" applyFont="1" applyFill="1" applyAlignment="1">
      <alignment horizontal="justify" vertical="top" wrapText="1"/>
    </xf>
    <xf numFmtId="0" fontId="18" fillId="3" borderId="1" xfId="0" applyFont="1" applyFill="1" applyBorder="1" applyAlignment="1">
      <alignment horizontal="center" vertical="top" wrapText="1"/>
    </xf>
    <xf numFmtId="0" fontId="0" fillId="3" borderId="0" xfId="0" applyFill="1"/>
    <xf numFmtId="0" fontId="18" fillId="3" borderId="20" xfId="0" applyFont="1" applyFill="1" applyBorder="1" applyAlignment="1">
      <alignment horizontal="center" vertical="top" wrapText="1"/>
    </xf>
    <xf numFmtId="166" fontId="18" fillId="3" borderId="2" xfId="0" applyNumberFormat="1" applyFont="1" applyFill="1" applyBorder="1" applyAlignment="1">
      <alignment horizontal="center" vertical="top" wrapText="1"/>
    </xf>
    <xf numFmtId="0" fontId="17" fillId="3" borderId="2" xfId="0" applyFont="1" applyFill="1" applyBorder="1" applyAlignment="1">
      <alignment horizontal="center" vertical="top" wrapText="1"/>
    </xf>
    <xf numFmtId="0" fontId="5" fillId="3" borderId="0" xfId="0" applyFont="1" applyFill="1"/>
    <xf numFmtId="2" fontId="5" fillId="3" borderId="0" xfId="0" applyNumberFormat="1" applyFont="1" applyFill="1"/>
    <xf numFmtId="0" fontId="2" fillId="3" borderId="0" xfId="0" applyFont="1" applyFill="1" applyAlignment="1">
      <alignment horizontal="justify" vertical="top" wrapText="1"/>
    </xf>
    <xf numFmtId="0" fontId="43" fillId="3" borderId="0" xfId="0" applyFont="1" applyFill="1"/>
    <xf numFmtId="0" fontId="0" fillId="3" borderId="0" xfId="0" applyFont="1" applyFill="1"/>
    <xf numFmtId="2" fontId="0" fillId="3" borderId="0" xfId="0" applyNumberFormat="1" applyFont="1" applyFill="1"/>
    <xf numFmtId="0" fontId="6" fillId="0" borderId="0" xfId="0" applyFont="1" applyFill="1" applyAlignment="1">
      <alignment horizontal="center" vertical="top" wrapText="1"/>
    </xf>
    <xf numFmtId="0" fontId="2" fillId="0" borderId="0" xfId="0" applyFont="1" applyFill="1" applyAlignment="1">
      <alignment horizontal="right"/>
    </xf>
    <xf numFmtId="0" fontId="6" fillId="0" borderId="0" xfId="0" applyFont="1" applyFill="1" applyAlignment="1">
      <alignment horizontal="center"/>
    </xf>
    <xf numFmtId="1" fontId="6" fillId="0" borderId="19" xfId="0" applyNumberFormat="1" applyFont="1" applyFill="1" applyBorder="1" applyAlignment="1">
      <alignment horizontal="center" vertical="top" wrapText="1"/>
    </xf>
    <xf numFmtId="167" fontId="19" fillId="0" borderId="1" xfId="0" applyNumberFormat="1" applyFont="1" applyFill="1" applyBorder="1" applyAlignment="1">
      <alignment horizontal="center" wrapText="1"/>
    </xf>
    <xf numFmtId="167" fontId="19" fillId="0" borderId="1" xfId="0" applyNumberFormat="1" applyFont="1" applyFill="1" applyBorder="1" applyAlignment="1">
      <alignment horizontal="center"/>
    </xf>
    <xf numFmtId="4" fontId="19" fillId="0" borderId="1" xfId="0" applyNumberFormat="1" applyFont="1" applyFill="1" applyBorder="1" applyAlignment="1">
      <alignment horizontal="center"/>
    </xf>
    <xf numFmtId="166" fontId="6" fillId="0" borderId="23"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wrapText="1"/>
    </xf>
    <xf numFmtId="0" fontId="2" fillId="0" borderId="0" xfId="0" applyFont="1" applyFill="1"/>
    <xf numFmtId="0" fontId="11" fillId="0" borderId="0" xfId="0" applyFont="1" applyFill="1"/>
    <xf numFmtId="165" fontId="6" fillId="0" borderId="1" xfId="0" applyNumberFormat="1" applyFont="1" applyFill="1" applyBorder="1" applyAlignment="1">
      <alignment horizontal="center" vertical="center"/>
    </xf>
    <xf numFmtId="0" fontId="27" fillId="0" borderId="0" xfId="0" applyFont="1" applyFill="1" applyAlignment="1"/>
    <xf numFmtId="0" fontId="0" fillId="0" borderId="0" xfId="0" applyFont="1" applyFill="1" applyBorder="1"/>
    <xf numFmtId="0" fontId="18" fillId="0" borderId="1" xfId="0" applyFont="1" applyFill="1" applyBorder="1" applyAlignment="1">
      <alignment horizontal="center" vertical="top" wrapText="1"/>
    </xf>
    <xf numFmtId="0" fontId="18" fillId="0" borderId="0" xfId="0" applyFont="1" applyFill="1"/>
    <xf numFmtId="0" fontId="6" fillId="0" borderId="1" xfId="0" applyFont="1" applyFill="1" applyBorder="1" applyAlignment="1">
      <alignment horizontal="center" vertical="top" wrapText="1"/>
    </xf>
    <xf numFmtId="4" fontId="18" fillId="0" borderId="23" xfId="0" applyNumberFormat="1" applyFont="1" applyFill="1" applyBorder="1" applyAlignment="1">
      <alignment horizontal="center" vertical="center"/>
    </xf>
    <xf numFmtId="4" fontId="18" fillId="0" borderId="19" xfId="0" applyNumberFormat="1" applyFont="1" applyFill="1" applyBorder="1" applyAlignment="1">
      <alignment horizontal="center" vertical="center"/>
    </xf>
    <xf numFmtId="4" fontId="17" fillId="0" borderId="1" xfId="0" applyNumberFormat="1" applyFont="1" applyFill="1" applyBorder="1" applyAlignment="1">
      <alignment horizontal="center" wrapText="1"/>
    </xf>
    <xf numFmtId="0" fontId="6" fillId="0" borderId="1" xfId="0" applyFont="1" applyFill="1" applyBorder="1" applyAlignment="1">
      <alignment horizontal="center" vertical="top"/>
    </xf>
    <xf numFmtId="0" fontId="6" fillId="0" borderId="0" xfId="0" applyFont="1" applyFill="1" applyAlignment="1">
      <alignment wrapText="1"/>
    </xf>
    <xf numFmtId="0" fontId="6" fillId="0" borderId="1" xfId="0" applyFont="1" applyFill="1" applyBorder="1" applyAlignment="1">
      <alignment horizontal="center" vertical="top" wrapText="1"/>
    </xf>
    <xf numFmtId="0" fontId="18"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3" borderId="4" xfId="0" applyFont="1" applyFill="1" applyBorder="1" applyAlignment="1">
      <alignment horizontal="justify" vertical="top" wrapText="1"/>
    </xf>
    <xf numFmtId="0" fontId="2" fillId="3" borderId="20" xfId="0" applyFont="1" applyFill="1" applyBorder="1" applyAlignment="1">
      <alignment horizontal="justify" vertical="top" wrapText="1"/>
    </xf>
    <xf numFmtId="0" fontId="45" fillId="0" borderId="0" xfId="0" applyFont="1" applyAlignment="1"/>
    <xf numFmtId="0" fontId="59" fillId="0" borderId="0" xfId="0" applyFont="1" applyAlignment="1"/>
    <xf numFmtId="0" fontId="45" fillId="3" borderId="0" xfId="0" applyFont="1" applyFill="1"/>
    <xf numFmtId="0" fontId="60" fillId="3" borderId="0" xfId="0" applyFont="1" applyFill="1"/>
    <xf numFmtId="0" fontId="61" fillId="3" borderId="0" xfId="0" applyFont="1" applyFill="1"/>
    <xf numFmtId="2" fontId="45" fillId="3" borderId="0" xfId="0" applyNumberFormat="1" applyFont="1" applyFill="1"/>
    <xf numFmtId="0" fontId="45" fillId="3" borderId="0" xfId="0" applyFont="1" applyFill="1" applyAlignment="1">
      <alignment horizontal="left" vertical="top" wrapText="1"/>
    </xf>
    <xf numFmtId="166" fontId="63" fillId="0" borderId="1" xfId="0" applyNumberFormat="1" applyFont="1" applyFill="1" applyBorder="1" applyAlignment="1">
      <alignment horizontal="justify" vertical="top" wrapText="1"/>
    </xf>
    <xf numFmtId="0" fontId="37" fillId="3" borderId="0" xfId="0" applyFont="1" applyFill="1"/>
    <xf numFmtId="0" fontId="2" fillId="4" borderId="1" xfId="0" applyFont="1" applyFill="1" applyBorder="1" applyAlignment="1">
      <alignment horizontal="center" vertical="center" wrapText="1"/>
    </xf>
    <xf numFmtId="0" fontId="0" fillId="0" borderId="25" xfId="0" applyFill="1" applyBorder="1"/>
    <xf numFmtId="166"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xf>
    <xf numFmtId="0" fontId="6" fillId="0" borderId="0" xfId="0" applyFont="1" applyFill="1" applyAlignment="1">
      <alignment wrapText="1"/>
    </xf>
    <xf numFmtId="0" fontId="6" fillId="0" borderId="19" xfId="0" applyFont="1" applyFill="1" applyBorder="1" applyAlignment="1">
      <alignment horizontal="center" vertical="top" wrapText="1"/>
    </xf>
    <xf numFmtId="0" fontId="6" fillId="0" borderId="1" xfId="0" applyFont="1" applyFill="1" applyBorder="1" applyAlignment="1">
      <alignment horizontal="center" vertical="top" wrapText="1"/>
    </xf>
    <xf numFmtId="0" fontId="0" fillId="0" borderId="3" xfId="0" applyFill="1" applyBorder="1"/>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52" fillId="0" borderId="0" xfId="0" applyFont="1" applyFill="1" applyAlignment="1"/>
    <xf numFmtId="1" fontId="19" fillId="0" borderId="1" xfId="0" applyNumberFormat="1" applyFont="1" applyFill="1" applyBorder="1" applyAlignment="1">
      <alignment horizontal="center" vertical="center" wrapText="1"/>
    </xf>
    <xf numFmtId="166" fontId="19" fillId="0" borderId="1" xfId="0" applyNumberFormat="1" applyFont="1" applyFill="1" applyBorder="1" applyAlignment="1">
      <alignment horizontal="center" vertical="top" wrapText="1"/>
    </xf>
    <xf numFmtId="168" fontId="19" fillId="0" borderId="23" xfId="0" applyNumberFormat="1" applyFont="1" applyFill="1" applyBorder="1" applyAlignment="1">
      <alignment horizontal="center" vertical="center"/>
    </xf>
    <xf numFmtId="4" fontId="19" fillId="0" borderId="1" xfId="0" applyNumberFormat="1" applyFont="1" applyFill="1" applyBorder="1" applyAlignment="1">
      <alignment horizontal="center" vertical="center"/>
    </xf>
    <xf numFmtId="4" fontId="19" fillId="0" borderId="1" xfId="0" applyNumberFormat="1" applyFont="1" applyFill="1" applyBorder="1" applyAlignment="1">
      <alignment horizontal="center" vertical="center" wrapText="1"/>
    </xf>
    <xf numFmtId="165" fontId="19" fillId="0" borderId="1" xfId="0" applyNumberFormat="1" applyFont="1" applyFill="1" applyBorder="1" applyAlignment="1">
      <alignment horizontal="center" vertical="center" wrapText="1"/>
    </xf>
    <xf numFmtId="0" fontId="19" fillId="0" borderId="1" xfId="0" applyFont="1" applyFill="1" applyBorder="1" applyAlignment="1">
      <alignment vertical="center"/>
    </xf>
    <xf numFmtId="2" fontId="19" fillId="0" borderId="1" xfId="0" applyNumberFormat="1" applyFont="1" applyFill="1" applyBorder="1" applyAlignment="1">
      <alignment horizontal="center" vertical="center"/>
    </xf>
    <xf numFmtId="0" fontId="2" fillId="0" borderId="0" xfId="0" applyFont="1" applyFill="1" applyAlignment="1">
      <alignment horizontal="right"/>
    </xf>
    <xf numFmtId="4" fontId="2" fillId="0" borderId="28" xfId="0" applyNumberFormat="1" applyFont="1" applyFill="1" applyBorder="1" applyAlignment="1">
      <alignment horizontal="right"/>
    </xf>
    <xf numFmtId="0" fontId="2" fillId="0" borderId="0" xfId="0" applyFont="1" applyFill="1" applyAlignment="1">
      <alignment horizontal="right" vertical="center" wrapText="1"/>
    </xf>
    <xf numFmtId="2" fontId="6" fillId="0" borderId="1" xfId="0" applyNumberFormat="1" applyFont="1" applyFill="1" applyBorder="1" applyAlignment="1">
      <alignment horizontal="center" vertical="top" wrapText="1"/>
    </xf>
    <xf numFmtId="0" fontId="0" fillId="0" borderId="28" xfId="0" applyFill="1" applyBorder="1"/>
    <xf numFmtId="0" fontId="6" fillId="0" borderId="39" xfId="0"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0" fontId="17" fillId="0" borderId="36" xfId="0" applyFont="1" applyFill="1" applyBorder="1" applyAlignment="1">
      <alignment horizontal="center" vertical="center" wrapText="1"/>
    </xf>
    <xf numFmtId="0" fontId="6" fillId="0" borderId="0" xfId="0" applyFont="1" applyFill="1" applyAlignment="1">
      <alignment wrapText="1"/>
    </xf>
    <xf numFmtId="0" fontId="2" fillId="0" borderId="1" xfId="0" applyFont="1" applyFill="1" applyBorder="1" applyAlignment="1">
      <alignment horizontal="center" vertical="center"/>
    </xf>
    <xf numFmtId="0" fontId="18" fillId="0" borderId="0" xfId="0" applyFont="1" applyFill="1" applyBorder="1"/>
    <xf numFmtId="1" fontId="18" fillId="0" borderId="0" xfId="0" applyNumberFormat="1" applyFont="1" applyFill="1" applyBorder="1"/>
    <xf numFmtId="1" fontId="18" fillId="0" borderId="1" xfId="0" applyNumberFormat="1" applyFont="1" applyFill="1" applyBorder="1" applyAlignment="1">
      <alignment horizontal="center" vertical="center"/>
    </xf>
    <xf numFmtId="0" fontId="2" fillId="4"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1" fontId="6" fillId="0" borderId="1" xfId="0" applyNumberFormat="1" applyFont="1" applyFill="1" applyBorder="1" applyAlignment="1">
      <alignment horizontal="center"/>
    </xf>
    <xf numFmtId="0" fontId="6" fillId="0" borderId="0" xfId="0" applyFont="1" applyFill="1" applyAlignment="1">
      <alignment wrapText="1"/>
    </xf>
    <xf numFmtId="0" fontId="2" fillId="0" borderId="1" xfId="0" applyFont="1" applyFill="1" applyBorder="1" applyAlignment="1">
      <alignment horizontal="center" vertical="top" wrapText="1"/>
    </xf>
    <xf numFmtId="2" fontId="18" fillId="0" borderId="1" xfId="0" applyNumberFormat="1" applyFont="1" applyFill="1" applyBorder="1" applyAlignment="1">
      <alignment horizontal="center"/>
    </xf>
    <xf numFmtId="0" fontId="2" fillId="4" borderId="2" xfId="0" applyFont="1" applyFill="1" applyBorder="1" applyAlignment="1">
      <alignment horizontal="center" vertical="center" wrapText="1"/>
    </xf>
    <xf numFmtId="0" fontId="2" fillId="0" borderId="23" xfId="0" applyFont="1" applyFill="1" applyBorder="1" applyAlignment="1">
      <alignment horizontal="justify" vertical="top" wrapText="1"/>
    </xf>
    <xf numFmtId="0" fontId="2" fillId="0" borderId="42" xfId="0" applyFont="1" applyBorder="1" applyAlignment="1">
      <alignment horizontal="center" vertical="center" wrapText="1"/>
    </xf>
    <xf numFmtId="0" fontId="2" fillId="4" borderId="42"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2" fillId="0" borderId="44" xfId="0" applyFont="1" applyFill="1" applyBorder="1" applyAlignment="1">
      <alignment horizontal="justify" vertical="top" wrapText="1"/>
    </xf>
    <xf numFmtId="4" fontId="19" fillId="0" borderId="3"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xf>
    <xf numFmtId="166" fontId="6" fillId="0" borderId="0" xfId="0" applyNumberFormat="1" applyFont="1" applyFill="1"/>
    <xf numFmtId="0" fontId="18" fillId="0" borderId="17" xfId="0" applyFont="1" applyFill="1" applyBorder="1" applyAlignment="1">
      <alignment horizontal="center" vertical="top" wrapText="1"/>
    </xf>
    <xf numFmtId="0" fontId="18" fillId="0" borderId="0" xfId="0" applyFont="1" applyFill="1" applyBorder="1" applyAlignment="1">
      <alignment horizontal="center" vertical="top" wrapText="1"/>
    </xf>
    <xf numFmtId="0" fontId="18" fillId="0" borderId="12" xfId="0" applyFont="1" applyFill="1" applyBorder="1" applyAlignment="1">
      <alignment horizontal="center" vertical="top" wrapText="1"/>
    </xf>
    <xf numFmtId="0" fontId="18" fillId="0" borderId="12" xfId="0" applyFont="1" applyFill="1" applyBorder="1" applyAlignment="1">
      <alignment horizontal="center"/>
    </xf>
    <xf numFmtId="0" fontId="18" fillId="0" borderId="18" xfId="0" applyFont="1" applyFill="1" applyBorder="1" applyAlignment="1">
      <alignment horizontal="center" wrapText="1"/>
    </xf>
    <xf numFmtId="0" fontId="18" fillId="0" borderId="26" xfId="0" applyFont="1" applyFill="1" applyBorder="1" applyAlignment="1">
      <alignment horizontal="center" wrapText="1"/>
    </xf>
    <xf numFmtId="0" fontId="18" fillId="0" borderId="12" xfId="0" applyFont="1" applyFill="1" applyBorder="1" applyAlignment="1">
      <alignment horizontal="center" wrapText="1"/>
    </xf>
    <xf numFmtId="0" fontId="18" fillId="0" borderId="8" xfId="0" applyFont="1" applyFill="1" applyBorder="1" applyAlignment="1">
      <alignment horizontal="center"/>
    </xf>
    <xf numFmtId="0" fontId="18" fillId="0" borderId="18" xfId="0" applyFont="1" applyFill="1" applyBorder="1" applyAlignment="1">
      <alignment horizontal="center"/>
    </xf>
    <xf numFmtId="0" fontId="18" fillId="0" borderId="8" xfId="0" applyFont="1" applyFill="1" applyBorder="1" applyAlignment="1">
      <alignment horizontal="center" vertical="top" wrapText="1"/>
    </xf>
    <xf numFmtId="0" fontId="18" fillId="0" borderId="26" xfId="0" applyFont="1" applyFill="1" applyBorder="1" applyAlignment="1">
      <alignment horizontal="center"/>
    </xf>
    <xf numFmtId="0" fontId="18" fillId="4" borderId="12"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0" borderId="45" xfId="0" applyFont="1" applyBorder="1" applyAlignment="1">
      <alignment horizontal="center" vertical="center" wrapText="1"/>
    </xf>
    <xf numFmtId="0" fontId="18" fillId="0" borderId="12" xfId="0" applyFont="1" applyBorder="1" applyAlignment="1">
      <alignment horizontal="center" vertical="center" wrapText="1"/>
    </xf>
    <xf numFmtId="0" fontId="18" fillId="4" borderId="45" xfId="0" applyFont="1" applyFill="1" applyBorder="1" applyAlignment="1">
      <alignment horizontal="center" vertical="center" wrapText="1"/>
    </xf>
    <xf numFmtId="0" fontId="18" fillId="0" borderId="12" xfId="0" applyFont="1" applyBorder="1" applyAlignment="1">
      <alignment horizontal="center" vertical="center"/>
    </xf>
    <xf numFmtId="0" fontId="18" fillId="0" borderId="45" xfId="0" applyFont="1" applyBorder="1" applyAlignment="1">
      <alignment horizontal="center" vertical="center"/>
    </xf>
    <xf numFmtId="0" fontId="18" fillId="4" borderId="8" xfId="0" applyFont="1" applyFill="1" applyBorder="1" applyAlignment="1">
      <alignment horizontal="center" vertical="center" wrapText="1"/>
    </xf>
    <xf numFmtId="0" fontId="18" fillId="0" borderId="0" xfId="0" applyFont="1" applyFill="1" applyAlignment="1">
      <alignment vertical="top" wrapText="1"/>
    </xf>
    <xf numFmtId="0" fontId="18" fillId="0" borderId="24" xfId="0" applyFont="1" applyFill="1" applyBorder="1" applyAlignment="1">
      <alignment horizontal="center" vertical="top" wrapText="1"/>
    </xf>
    <xf numFmtId="0" fontId="18" fillId="0" borderId="12" xfId="0" applyFont="1" applyFill="1" applyBorder="1" applyAlignment="1">
      <alignment vertical="top" wrapText="1"/>
    </xf>
    <xf numFmtId="0" fontId="18" fillId="0" borderId="12" xfId="0" applyFont="1" applyFill="1" applyBorder="1"/>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67" fillId="0" borderId="1" xfId="0" applyFont="1" applyFill="1" applyBorder="1"/>
    <xf numFmtId="2" fontId="3" fillId="0" borderId="0" xfId="0" applyNumberFormat="1" applyFont="1" applyFill="1" applyAlignment="1">
      <alignment horizontal="center" vertical="center"/>
    </xf>
    <xf numFmtId="0" fontId="2" fillId="0" borderId="19" xfId="0" applyFont="1" applyFill="1" applyBorder="1"/>
    <xf numFmtId="0" fontId="2" fillId="0" borderId="1" xfId="0" applyFont="1" applyFill="1" applyBorder="1"/>
    <xf numFmtId="0" fontId="3" fillId="0" borderId="1" xfId="0" applyFont="1" applyFill="1" applyBorder="1" applyAlignment="1">
      <alignment horizontal="center" vertical="center"/>
    </xf>
    <xf numFmtId="0" fontId="3" fillId="0" borderId="0" xfId="0" applyFont="1" applyFill="1" applyAlignment="1">
      <alignment horizontal="center" vertical="center"/>
    </xf>
    <xf numFmtId="2" fontId="2" fillId="0" borderId="0" xfId="0" applyNumberFormat="1" applyFont="1" applyFill="1" applyAlignment="1">
      <alignment horizontal="center" vertical="center"/>
    </xf>
    <xf numFmtId="0" fontId="2" fillId="0" borderId="23" xfId="0" applyFont="1" applyFill="1" applyBorder="1" applyAlignment="1">
      <alignment wrapText="1"/>
    </xf>
    <xf numFmtId="1" fontId="38"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2" fontId="38" fillId="0" borderId="1" xfId="0" applyNumberFormat="1" applyFont="1" applyFill="1" applyBorder="1" applyAlignment="1">
      <alignment horizontal="center" vertical="center" wrapText="1"/>
    </xf>
    <xf numFmtId="4" fontId="18" fillId="0" borderId="2" xfId="0" applyNumberFormat="1" applyFont="1" applyFill="1" applyBorder="1" applyAlignment="1">
      <alignment horizontal="center" vertical="center"/>
    </xf>
    <xf numFmtId="0" fontId="6" fillId="0" borderId="8" xfId="0" applyFont="1" applyFill="1" applyBorder="1" applyAlignment="1">
      <alignment horizontal="center" vertical="center"/>
    </xf>
    <xf numFmtId="0" fontId="6" fillId="0" borderId="12" xfId="0" applyFont="1" applyFill="1" applyBorder="1" applyAlignment="1">
      <alignment horizontal="center" vertical="center"/>
    </xf>
    <xf numFmtId="0" fontId="2" fillId="0" borderId="1" xfId="0" applyFont="1" applyFill="1" applyBorder="1" applyAlignment="1">
      <alignment horizontal="center" vertical="center" wrapText="1"/>
    </xf>
    <xf numFmtId="1" fontId="6" fillId="0" borderId="1" xfId="0" applyNumberFormat="1" applyFont="1" applyFill="1" applyBorder="1" applyAlignment="1">
      <alignment horizontal="center" vertical="center"/>
    </xf>
    <xf numFmtId="0" fontId="45" fillId="3" borderId="0" xfId="0" applyFont="1" applyFill="1" applyAlignment="1">
      <alignment horizontal="left" vertical="top" wrapText="1"/>
    </xf>
    <xf numFmtId="0" fontId="45" fillId="3" borderId="0" xfId="0" applyFont="1" applyFill="1" applyAlignment="1">
      <alignment horizontal="left" vertical="top" wrapText="1"/>
    </xf>
    <xf numFmtId="167" fontId="18" fillId="0" borderId="1" xfId="0" applyNumberFormat="1" applyFont="1" applyFill="1" applyBorder="1" applyAlignment="1">
      <alignment horizontal="center" vertical="center"/>
    </xf>
    <xf numFmtId="0" fontId="18" fillId="0" borderId="0" xfId="0" applyFont="1" applyFill="1" applyAlignment="1">
      <alignment vertical="top" wrapText="1"/>
    </xf>
    <xf numFmtId="0" fontId="18" fillId="0" borderId="12" xfId="0" applyFont="1" applyFill="1" applyBorder="1" applyAlignment="1">
      <alignment horizontal="center" vertical="center"/>
    </xf>
    <xf numFmtId="4" fontId="0" fillId="0" borderId="1"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wrapText="1"/>
    </xf>
    <xf numFmtId="0" fontId="2" fillId="3" borderId="30" xfId="0" applyFont="1" applyFill="1" applyBorder="1" applyAlignment="1">
      <alignment horizontal="justify" vertical="top" wrapText="1"/>
    </xf>
    <xf numFmtId="0" fontId="2" fillId="0" borderId="47" xfId="0" applyFont="1" applyFill="1" applyBorder="1" applyAlignment="1">
      <alignment horizontal="justify" vertical="top" wrapText="1"/>
    </xf>
    <xf numFmtId="167" fontId="6" fillId="0" borderId="1" xfId="0" applyNumberFormat="1" applyFont="1" applyFill="1" applyBorder="1" applyAlignment="1">
      <alignment horizontal="center" vertical="center" wrapText="1"/>
    </xf>
    <xf numFmtId="0" fontId="18" fillId="0" borderId="8" xfId="0" applyFont="1" applyFill="1" applyBorder="1" applyAlignment="1">
      <alignment horizontal="center" vertical="center" wrapText="1"/>
    </xf>
    <xf numFmtId="0" fontId="38" fillId="0" borderId="12" xfId="0" applyNumberFormat="1" applyFont="1" applyFill="1" applyBorder="1" applyAlignment="1">
      <alignment horizontal="center" vertical="center" wrapText="1"/>
    </xf>
    <xf numFmtId="0" fontId="18" fillId="0" borderId="12" xfId="0" applyNumberFormat="1" applyFont="1" applyFill="1" applyBorder="1" applyAlignment="1">
      <alignment horizontal="center" vertical="center"/>
    </xf>
    <xf numFmtId="0" fontId="18" fillId="0" borderId="8" xfId="0" applyFont="1" applyFill="1" applyBorder="1" applyAlignment="1">
      <alignment horizontal="center" vertical="center"/>
    </xf>
    <xf numFmtId="0" fontId="18" fillId="0" borderId="26" xfId="0" applyFont="1" applyFill="1" applyBorder="1" applyAlignment="1">
      <alignment horizontal="center" vertical="center"/>
    </xf>
    <xf numFmtId="4" fontId="6" fillId="0" borderId="14" xfId="0" applyNumberFormat="1" applyFont="1" applyFill="1" applyBorder="1" applyAlignment="1">
      <alignment horizontal="center" vertical="center"/>
    </xf>
    <xf numFmtId="0" fontId="18" fillId="0" borderId="0" xfId="0" applyFont="1" applyFill="1"/>
    <xf numFmtId="166" fontId="18" fillId="0" borderId="2" xfId="0" applyNumberFormat="1" applyFont="1" applyFill="1" applyBorder="1" applyAlignment="1">
      <alignment horizontal="center" vertical="top" wrapText="1"/>
    </xf>
    <xf numFmtId="166" fontId="62" fillId="0" borderId="30" xfId="0" applyNumberFormat="1" applyFont="1" applyFill="1" applyBorder="1" applyAlignment="1">
      <alignment horizontal="justify" vertical="top" wrapText="1"/>
    </xf>
    <xf numFmtId="1" fontId="18" fillId="0" borderId="1" xfId="0" applyNumberFormat="1" applyFont="1" applyFill="1" applyBorder="1" applyAlignment="1">
      <alignment horizontal="center"/>
    </xf>
    <xf numFmtId="1" fontId="17" fillId="0" borderId="1" xfId="0" applyNumberFormat="1" applyFont="1" applyFill="1" applyBorder="1" applyAlignment="1">
      <alignment horizontal="center" wrapText="1"/>
    </xf>
    <xf numFmtId="1" fontId="17" fillId="0" borderId="1" xfId="0" applyNumberFormat="1" applyFont="1" applyFill="1" applyBorder="1" applyAlignment="1">
      <alignment horizontal="center"/>
    </xf>
    <xf numFmtId="0" fontId="18" fillId="0" borderId="0" xfId="0" applyFont="1" applyFill="1" applyBorder="1" applyAlignment="1">
      <alignment horizontal="center"/>
    </xf>
    <xf numFmtId="0" fontId="18" fillId="0" borderId="0" xfId="0" applyFont="1" applyFill="1" applyBorder="1" applyAlignment="1">
      <alignment horizontal="center" vertical="center"/>
    </xf>
    <xf numFmtId="0" fontId="2" fillId="4" borderId="0" xfId="0" applyFont="1" applyFill="1" applyBorder="1" applyAlignment="1">
      <alignment horizontal="center" vertical="center" wrapText="1"/>
    </xf>
    <xf numFmtId="2" fontId="18" fillId="0" borderId="0" xfId="0" applyNumberFormat="1" applyFont="1" applyFill="1" applyBorder="1" applyAlignment="1">
      <alignment horizontal="center" vertical="center"/>
    </xf>
    <xf numFmtId="166" fontId="18" fillId="0" borderId="0" xfId="0" applyNumberFormat="1" applyFont="1" applyFill="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4" fontId="18" fillId="0" borderId="0" xfId="0" applyNumberFormat="1" applyFont="1" applyFill="1" applyBorder="1" applyAlignment="1">
      <alignment horizontal="center" vertical="center"/>
    </xf>
    <xf numFmtId="0" fontId="17" fillId="0" borderId="0" xfId="0" applyFont="1" applyFill="1" applyBorder="1" applyAlignment="1">
      <alignment horizontal="right" wrapText="1"/>
    </xf>
    <xf numFmtId="4" fontId="17" fillId="0" borderId="0" xfId="0" applyNumberFormat="1" applyFont="1" applyFill="1" applyBorder="1" applyAlignment="1">
      <alignment horizontal="center" wrapText="1"/>
    </xf>
    <xf numFmtId="4" fontId="17" fillId="0" borderId="0" xfId="0" applyNumberFormat="1" applyFont="1" applyFill="1" applyBorder="1" applyAlignment="1">
      <alignment horizontal="center"/>
    </xf>
    <xf numFmtId="0" fontId="2" fillId="0" borderId="1" xfId="0" applyFont="1" applyFill="1" applyBorder="1" applyAlignment="1">
      <alignment horizontal="center" vertical="center" wrapText="1"/>
    </xf>
    <xf numFmtId="4" fontId="38" fillId="0" borderId="1" xfId="1" applyNumberFormat="1" applyFont="1" applyFill="1" applyBorder="1" applyAlignment="1">
      <alignment horizontal="center" vertical="center" wrapText="1"/>
    </xf>
    <xf numFmtId="2" fontId="18" fillId="0" borderId="2" xfId="0" applyNumberFormat="1" applyFont="1" applyFill="1" applyBorder="1" applyAlignment="1">
      <alignment horizontal="center" vertical="center"/>
    </xf>
    <xf numFmtId="1" fontId="43" fillId="0" borderId="1" xfId="0" applyNumberFormat="1" applyFont="1" applyFill="1" applyBorder="1" applyAlignment="1">
      <alignment horizontal="center"/>
    </xf>
    <xf numFmtId="0" fontId="43" fillId="0" borderId="1" xfId="0" applyFont="1" applyFill="1" applyBorder="1" applyAlignment="1">
      <alignment horizontal="center"/>
    </xf>
    <xf numFmtId="2" fontId="38" fillId="0" borderId="2" xfId="0" applyNumberFormat="1" applyFont="1" applyFill="1" applyBorder="1" applyAlignment="1">
      <alignment horizontal="center" vertical="center" wrapText="1"/>
    </xf>
    <xf numFmtId="0" fontId="43" fillId="0" borderId="1" xfId="0" applyFont="1" applyFill="1" applyBorder="1"/>
    <xf numFmtId="166" fontId="17" fillId="0" borderId="4" xfId="0" applyNumberFormat="1" applyFont="1" applyFill="1" applyBorder="1" applyAlignment="1">
      <alignment horizontal="center" vertical="top"/>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166" fontId="63" fillId="0" borderId="1" xfId="0" applyNumberFormat="1" applyFont="1" applyFill="1" applyBorder="1" applyAlignment="1">
      <alignment horizontal="center" vertical="top" wrapText="1"/>
    </xf>
    <xf numFmtId="2" fontId="62" fillId="0" borderId="1" xfId="0" applyNumberFormat="1" applyFont="1" applyFill="1" applyBorder="1" applyAlignment="1">
      <alignment horizontal="center" vertical="top" wrapText="1"/>
    </xf>
    <xf numFmtId="0" fontId="22" fillId="0" borderId="14" xfId="0" applyFont="1" applyFill="1" applyBorder="1" applyAlignment="1">
      <alignment horizontal="justify" vertical="top" wrapText="1"/>
    </xf>
    <xf numFmtId="0" fontId="22" fillId="0" borderId="2" xfId="0" applyFont="1" applyFill="1" applyBorder="1" applyAlignment="1">
      <alignment horizontal="justify" vertical="top" wrapText="1"/>
    </xf>
    <xf numFmtId="0" fontId="22" fillId="0" borderId="1" xfId="0" applyFont="1" applyFill="1" applyBorder="1" applyAlignment="1">
      <alignment horizontal="justify" vertical="top" wrapText="1"/>
    </xf>
    <xf numFmtId="0" fontId="22" fillId="0" borderId="3" xfId="0" applyFont="1" applyFill="1" applyBorder="1" applyAlignment="1">
      <alignment horizontal="center" vertical="top" wrapText="1"/>
    </xf>
    <xf numFmtId="0" fontId="22" fillId="0" borderId="14" xfId="0" applyFont="1" applyFill="1" applyBorder="1" applyAlignment="1">
      <alignment horizontal="center" vertical="top" wrapText="1"/>
    </xf>
    <xf numFmtId="0" fontId="22" fillId="0" borderId="2" xfId="0" applyFont="1" applyFill="1" applyBorder="1" applyAlignment="1">
      <alignment horizontal="center" vertical="top" wrapText="1"/>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9" fillId="0" borderId="0" xfId="0" applyFont="1" applyFill="1" applyAlignment="1">
      <alignment vertical="top" wrapText="1"/>
    </xf>
    <xf numFmtId="0" fontId="18" fillId="0" borderId="3" xfId="0" applyFont="1" applyFill="1" applyBorder="1" applyAlignment="1">
      <alignment horizontal="center" vertical="top" wrapText="1"/>
    </xf>
    <xf numFmtId="166" fontId="63" fillId="0" borderId="20" xfId="0" applyNumberFormat="1" applyFont="1" applyFill="1" applyBorder="1" applyAlignment="1">
      <alignment horizontal="justify" vertical="top" wrapText="1"/>
    </xf>
    <xf numFmtId="166" fontId="62" fillId="0" borderId="20" xfId="0" applyNumberFormat="1" applyFont="1" applyFill="1" applyBorder="1" applyAlignment="1">
      <alignment horizontal="justify" vertical="top" wrapText="1"/>
    </xf>
    <xf numFmtId="166" fontId="62" fillId="0" borderId="46" xfId="0" applyNumberFormat="1" applyFont="1" applyFill="1" applyBorder="1" applyAlignment="1">
      <alignment horizontal="justify" vertical="top" wrapText="1"/>
    </xf>
    <xf numFmtId="0" fontId="18" fillId="0" borderId="27" xfId="0" applyFont="1" applyFill="1" applyBorder="1" applyAlignment="1">
      <alignment horizontal="center" vertical="top" wrapText="1"/>
    </xf>
    <xf numFmtId="0" fontId="18" fillId="0" borderId="27" xfId="0" applyFont="1" applyFill="1" applyBorder="1" applyAlignment="1">
      <alignment horizontal="justify" vertical="top"/>
    </xf>
    <xf numFmtId="166" fontId="62" fillId="0" borderId="4" xfId="0" applyNumberFormat="1" applyFont="1" applyFill="1" applyBorder="1" applyAlignment="1">
      <alignment horizontal="justify" vertical="top" wrapText="1"/>
    </xf>
    <xf numFmtId="0" fontId="18" fillId="0" borderId="5" xfId="0" applyNumberFormat="1" applyFont="1" applyFill="1" applyBorder="1" applyAlignment="1">
      <alignment horizontal="center" vertical="top" wrapText="1"/>
    </xf>
    <xf numFmtId="166" fontId="63" fillId="0" borderId="4" xfId="0" applyNumberFormat="1" applyFont="1" applyFill="1" applyBorder="1" applyAlignment="1">
      <alignment horizontal="justify" vertical="top" wrapText="1"/>
    </xf>
    <xf numFmtId="0" fontId="18" fillId="0" borderId="5" xfId="0" applyFont="1" applyFill="1" applyBorder="1" applyAlignment="1">
      <alignment horizontal="justify" vertical="top" wrapText="1"/>
    </xf>
    <xf numFmtId="0" fontId="18" fillId="0" borderId="27" xfId="0" applyFont="1" applyFill="1" applyBorder="1" applyAlignment="1">
      <alignment horizontal="justify" vertical="top" wrapText="1"/>
    </xf>
    <xf numFmtId="166" fontId="62" fillId="0" borderId="1" xfId="0" applyNumberFormat="1" applyFont="1" applyFill="1" applyBorder="1" applyAlignment="1">
      <alignment horizontal="justify" vertical="top" wrapText="1"/>
    </xf>
    <xf numFmtId="2" fontId="62" fillId="0" borderId="1" xfId="0" applyNumberFormat="1" applyFont="1" applyFill="1" applyBorder="1" applyAlignment="1">
      <alignment horizontal="justify" vertical="top" wrapText="1"/>
    </xf>
    <xf numFmtId="0" fontId="20" fillId="0" borderId="29" xfId="0" applyFont="1" applyFill="1" applyBorder="1" applyAlignment="1">
      <alignment horizontal="center" vertical="top" wrapText="1"/>
    </xf>
    <xf numFmtId="0" fontId="20" fillId="0" borderId="34" xfId="0" applyFont="1" applyFill="1" applyBorder="1" applyAlignment="1">
      <alignment horizontal="center" vertical="top" wrapText="1"/>
    </xf>
    <xf numFmtId="0" fontId="2" fillId="0" borderId="6" xfId="0" applyFont="1" applyFill="1" applyBorder="1" applyAlignment="1">
      <alignment horizontal="center" vertical="top" wrapText="1"/>
    </xf>
    <xf numFmtId="0" fontId="17" fillId="0" borderId="2" xfId="0" applyFont="1" applyFill="1" applyBorder="1" applyAlignment="1">
      <alignment horizontal="center" vertical="top" wrapText="1"/>
    </xf>
    <xf numFmtId="0" fontId="2" fillId="0" borderId="7" xfId="0" applyFont="1" applyFill="1" applyBorder="1" applyAlignment="1">
      <alignment horizontal="center" vertical="top" wrapText="1"/>
    </xf>
    <xf numFmtId="166" fontId="62" fillId="0" borderId="4" xfId="0" applyNumberFormat="1" applyFont="1" applyFill="1" applyBorder="1" applyAlignment="1">
      <alignment horizontal="center" vertical="top" wrapText="1"/>
    </xf>
    <xf numFmtId="0" fontId="2" fillId="0" borderId="5" xfId="0" applyFont="1" applyFill="1" applyBorder="1" applyAlignment="1">
      <alignment horizontal="justify" vertical="top" wrapText="1"/>
    </xf>
    <xf numFmtId="166" fontId="63" fillId="0" borderId="3" xfId="0" applyNumberFormat="1" applyFont="1" applyFill="1" applyBorder="1" applyAlignment="1">
      <alignment horizontal="center" vertical="top" wrapText="1"/>
    </xf>
    <xf numFmtId="166" fontId="63" fillId="0" borderId="2" xfId="0" applyNumberFormat="1" applyFont="1" applyFill="1" applyBorder="1" applyAlignment="1">
      <alignment horizontal="center" vertical="top" wrapText="1"/>
    </xf>
    <xf numFmtId="166" fontId="62" fillId="0" borderId="20" xfId="0" applyNumberFormat="1" applyFont="1" applyFill="1" applyBorder="1" applyAlignment="1">
      <alignment horizontal="center" vertical="top" wrapText="1"/>
    </xf>
    <xf numFmtId="166" fontId="63" fillId="0" borderId="14" xfId="0" applyNumberFormat="1" applyFont="1" applyFill="1" applyBorder="1" applyAlignment="1">
      <alignment horizontal="center" vertical="top" wrapText="1"/>
    </xf>
    <xf numFmtId="166" fontId="62" fillId="0" borderId="16" xfId="0" applyNumberFormat="1" applyFont="1" applyFill="1" applyBorder="1" applyAlignment="1">
      <alignment vertical="top" wrapText="1"/>
    </xf>
    <xf numFmtId="166" fontId="62" fillId="0" borderId="1" xfId="0" applyNumberFormat="1" applyFont="1" applyFill="1" applyBorder="1" applyAlignment="1">
      <alignment horizontal="center" vertical="top" wrapText="1"/>
    </xf>
    <xf numFmtId="166" fontId="18" fillId="0" borderId="1" xfId="0" applyNumberFormat="1" applyFont="1" applyFill="1" applyBorder="1" applyAlignment="1">
      <alignment horizontal="center" vertical="top"/>
    </xf>
    <xf numFmtId="166" fontId="18" fillId="0" borderId="5" xfId="0" applyNumberFormat="1" applyFont="1" applyFill="1" applyBorder="1" applyAlignment="1">
      <alignment horizontal="center" vertical="top"/>
    </xf>
    <xf numFmtId="166" fontId="10" fillId="0" borderId="1" xfId="0" applyNumberFormat="1" applyFont="1" applyFill="1" applyBorder="1" applyAlignment="1">
      <alignment horizontal="center" vertical="top"/>
    </xf>
    <xf numFmtId="0" fontId="2" fillId="0" borderId="0" xfId="0" applyFont="1" applyFill="1" applyAlignment="1">
      <alignment horizontal="center" vertical="center" wrapText="1"/>
    </xf>
    <xf numFmtId="4" fontId="25" fillId="0" borderId="3" xfId="0" applyNumberFormat="1" applyFont="1" applyFill="1" applyBorder="1" applyAlignment="1">
      <alignment horizontal="center" vertical="center"/>
    </xf>
    <xf numFmtId="4" fontId="25"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xf>
    <xf numFmtId="0" fontId="11" fillId="0" borderId="1" xfId="0" applyFont="1" applyFill="1" applyBorder="1" applyAlignment="1">
      <alignment horizontal="center" vertical="top"/>
    </xf>
    <xf numFmtId="0" fontId="45" fillId="0" borderId="0" xfId="0" applyFont="1" applyAlignment="1">
      <alignment vertical="center"/>
    </xf>
    <xf numFmtId="0" fontId="0" fillId="0" borderId="0" xfId="0" applyAlignment="1">
      <alignment vertical="center"/>
    </xf>
    <xf numFmtId="0" fontId="18" fillId="0" borderId="0" xfId="0" applyFont="1" applyFill="1"/>
    <xf numFmtId="0" fontId="29" fillId="0" borderId="0" xfId="0" applyFont="1" applyFill="1" applyAlignment="1">
      <alignment vertical="top" wrapText="1"/>
    </xf>
    <xf numFmtId="0" fontId="6" fillId="0" borderId="48" xfId="0" applyFont="1" applyFill="1" applyBorder="1" applyAlignment="1">
      <alignment horizontal="center" vertical="center"/>
    </xf>
    <xf numFmtId="0" fontId="0" fillId="0" borderId="0" xfId="0" applyFill="1" applyAlignment="1">
      <alignment vertical="top" wrapText="1"/>
    </xf>
    <xf numFmtId="2" fontId="18" fillId="0" borderId="0" xfId="0" applyNumberFormat="1" applyFont="1" applyFill="1"/>
    <xf numFmtId="0" fontId="18" fillId="0" borderId="49" xfId="0" applyFont="1" applyFill="1" applyBorder="1" applyAlignment="1">
      <alignment horizontal="center" vertical="top" wrapText="1"/>
    </xf>
    <xf numFmtId="0" fontId="6" fillId="0" borderId="28" xfId="0" applyFont="1" applyFill="1" applyBorder="1" applyAlignment="1">
      <alignment horizontal="left" wrapText="1"/>
    </xf>
    <xf numFmtId="0" fontId="7" fillId="0" borderId="0" xfId="0" applyFont="1" applyFill="1" applyAlignment="1">
      <alignment horizontal="center" vertical="center"/>
    </xf>
    <xf numFmtId="0" fontId="6" fillId="0" borderId="0" xfId="0" applyFont="1" applyFill="1" applyAlignment="1">
      <alignment horizontal="right"/>
    </xf>
    <xf numFmtId="0" fontId="2" fillId="0" borderId="1" xfId="0" applyFont="1" applyFill="1" applyBorder="1" applyAlignment="1">
      <alignment wrapText="1"/>
    </xf>
    <xf numFmtId="2" fontId="2" fillId="0" borderId="1" xfId="0" applyNumberFormat="1" applyFont="1" applyFill="1" applyBorder="1" applyAlignment="1">
      <alignment horizontal="center" vertical="center" wrapText="1"/>
    </xf>
    <xf numFmtId="0" fontId="5" fillId="0" borderId="0" xfId="0" applyFont="1" applyFill="1" applyAlignment="1">
      <alignment horizontal="justify" vertical="top" wrapText="1"/>
    </xf>
    <xf numFmtId="0" fontId="18" fillId="0" borderId="1" xfId="0" applyFont="1" applyFill="1" applyBorder="1" applyAlignment="1">
      <alignment horizontal="center" vertical="top"/>
    </xf>
    <xf numFmtId="0" fontId="2" fillId="0" borderId="3" xfId="0" applyFont="1" applyFill="1" applyBorder="1" applyAlignment="1">
      <alignment horizontal="center" vertical="top" wrapText="1"/>
    </xf>
    <xf numFmtId="2" fontId="3" fillId="0" borderId="1" xfId="0" applyNumberFormat="1" applyFont="1" applyFill="1" applyBorder="1" applyAlignment="1">
      <alignment horizontal="center" vertical="center"/>
    </xf>
    <xf numFmtId="0" fontId="2" fillId="0" borderId="1" xfId="0" applyFont="1" applyFill="1" applyBorder="1" applyAlignment="1">
      <alignment vertical="center" wrapText="1"/>
    </xf>
    <xf numFmtId="0" fontId="2" fillId="0" borderId="19" xfId="0" applyFont="1" applyFill="1" applyBorder="1" applyAlignment="1">
      <alignment horizontal="center" vertical="center"/>
    </xf>
    <xf numFmtId="0" fontId="3" fillId="0" borderId="0" xfId="0" applyFont="1" applyFill="1"/>
    <xf numFmtId="0" fontId="3" fillId="0" borderId="1" xfId="0" applyFont="1" applyFill="1" applyBorder="1"/>
    <xf numFmtId="2" fontId="3" fillId="0" borderId="0" xfId="0" applyNumberFormat="1" applyFont="1" applyFill="1" applyAlignment="1">
      <alignment horizontal="center"/>
    </xf>
    <xf numFmtId="0" fontId="2" fillId="0" borderId="23" xfId="0" applyFont="1" applyFill="1" applyBorder="1" applyAlignment="1">
      <alignment vertical="center" wrapText="1"/>
    </xf>
    <xf numFmtId="0" fontId="68" fillId="0" borderId="23" xfId="0" applyFont="1" applyFill="1" applyBorder="1" applyAlignment="1">
      <alignment vertical="center" wrapText="1"/>
    </xf>
    <xf numFmtId="0" fontId="2" fillId="0" borderId="29" xfId="0" applyFont="1" applyFill="1" applyBorder="1" applyAlignment="1">
      <alignment horizontal="justify" vertical="top" wrapText="1"/>
    </xf>
    <xf numFmtId="0" fontId="2" fillId="0" borderId="43" xfId="0" applyFont="1" applyFill="1" applyBorder="1" applyAlignment="1">
      <alignment horizontal="justify" vertical="top" wrapText="1"/>
    </xf>
    <xf numFmtId="0" fontId="2" fillId="0" borderId="19" xfId="0" applyFont="1" applyFill="1" applyBorder="1" applyAlignment="1">
      <alignment horizontal="justify" vertical="top" wrapText="1"/>
    </xf>
    <xf numFmtId="0" fontId="2" fillId="0" borderId="3" xfId="0" applyFont="1" applyFill="1" applyBorder="1" applyAlignment="1">
      <alignment horizontal="justify" vertical="top" wrapText="1"/>
    </xf>
    <xf numFmtId="0" fontId="2" fillId="0" borderId="22" xfId="0" applyFont="1" applyFill="1" applyBorder="1" applyAlignment="1">
      <alignment horizontal="justify" vertical="top" wrapText="1"/>
    </xf>
    <xf numFmtId="0" fontId="0" fillId="0" borderId="1" xfId="0" applyBorder="1" applyAlignment="1">
      <alignment horizontal="left" vertical="top"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19" xfId="0" applyBorder="1" applyAlignment="1">
      <alignment horizontal="center" vertical="center"/>
    </xf>
    <xf numFmtId="0" fontId="5" fillId="0" borderId="0" xfId="0" applyFont="1" applyFill="1"/>
    <xf numFmtId="4" fontId="2" fillId="0" borderId="1" xfId="0" applyNumberFormat="1" applyFont="1" applyFill="1" applyBorder="1" applyAlignment="1">
      <alignment horizontal="center" vertical="center" wrapText="1"/>
    </xf>
    <xf numFmtId="0" fontId="18" fillId="0" borderId="52" xfId="0" applyFont="1" applyFill="1" applyBorder="1" applyAlignment="1">
      <alignment horizontal="center" vertical="center" wrapText="1"/>
    </xf>
    <xf numFmtId="0" fontId="18" fillId="0" borderId="14" xfId="0" applyFont="1" applyFill="1" applyBorder="1" applyAlignment="1">
      <alignment vertical="top" wrapText="1"/>
    </xf>
    <xf numFmtId="0" fontId="18" fillId="0" borderId="53" xfId="0" applyFont="1" applyFill="1" applyBorder="1" applyAlignment="1">
      <alignment vertical="top" wrapText="1"/>
    </xf>
    <xf numFmtId="0" fontId="72" fillId="0" borderId="3" xfId="0" applyFont="1" applyFill="1" applyBorder="1" applyAlignment="1">
      <alignment horizontal="center" vertical="center" wrapText="1"/>
    </xf>
    <xf numFmtId="1" fontId="6" fillId="0" borderId="23" xfId="0" applyNumberFormat="1" applyFont="1" applyFill="1" applyBorder="1" applyAlignment="1">
      <alignment horizontal="center" vertical="center" wrapText="1"/>
    </xf>
    <xf numFmtId="0" fontId="29" fillId="0" borderId="1" xfId="0" applyFont="1" applyBorder="1" applyAlignment="1">
      <alignment horizontal="center" vertical="center" wrapText="1"/>
    </xf>
    <xf numFmtId="0" fontId="29" fillId="0" borderId="0" xfId="0" applyFont="1" applyAlignment="1">
      <alignment horizontal="center" vertical="center"/>
    </xf>
    <xf numFmtId="0" fontId="29" fillId="0" borderId="1" xfId="0" applyFont="1" applyBorder="1" applyAlignment="1">
      <alignment horizontal="center" vertical="center"/>
    </xf>
    <xf numFmtId="0" fontId="29" fillId="0" borderId="1" xfId="0" applyFont="1" applyBorder="1"/>
    <xf numFmtId="0" fontId="0" fillId="0" borderId="1" xfId="0" applyBorder="1"/>
    <xf numFmtId="0" fontId="38" fillId="0" borderId="1" xfId="0" applyFont="1" applyFill="1" applyBorder="1" applyAlignment="1">
      <alignment horizontal="left" vertical="center" wrapText="1"/>
    </xf>
    <xf numFmtId="0" fontId="38" fillId="0" borderId="1" xfId="0" applyFont="1" applyFill="1" applyBorder="1" applyAlignment="1">
      <alignment horizontal="left" vertical="center"/>
    </xf>
    <xf numFmtId="0" fontId="29" fillId="0" borderId="23" xfId="0" applyFont="1" applyBorder="1" applyAlignment="1">
      <alignment horizontal="center" vertical="center"/>
    </xf>
    <xf numFmtId="0" fontId="0" fillId="0" borderId="23" xfId="0" applyBorder="1"/>
    <xf numFmtId="0" fontId="29" fillId="0" borderId="19" xfId="0" applyFont="1" applyBorder="1" applyAlignment="1">
      <alignment horizontal="center" vertical="center" wrapText="1"/>
    </xf>
    <xf numFmtId="0" fontId="29" fillId="0" borderId="19" xfId="0" applyFont="1" applyBorder="1" applyAlignment="1">
      <alignment horizontal="center" vertical="center"/>
    </xf>
    <xf numFmtId="0" fontId="29" fillId="0" borderId="19" xfId="0" applyFont="1" applyFill="1" applyBorder="1" applyAlignment="1">
      <alignment horizontal="center" vertical="center"/>
    </xf>
    <xf numFmtId="0" fontId="0" fillId="0" borderId="19" xfId="0" applyBorder="1"/>
    <xf numFmtId="0" fontId="29" fillId="0" borderId="48"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43" xfId="0" applyFont="1" applyBorder="1" applyAlignment="1">
      <alignment horizontal="center" vertical="center"/>
    </xf>
    <xf numFmtId="0" fontId="0" fillId="0" borderId="43" xfId="0" applyBorder="1"/>
    <xf numFmtId="2" fontId="29" fillId="0" borderId="19" xfId="0" applyNumberFormat="1" applyFont="1" applyFill="1" applyBorder="1" applyAlignment="1">
      <alignment horizontal="center" vertical="center"/>
    </xf>
    <xf numFmtId="0" fontId="29" fillId="0" borderId="19" xfId="0" applyFont="1" applyFill="1" applyBorder="1"/>
    <xf numFmtId="0" fontId="38" fillId="0" borderId="2" xfId="0" applyFont="1" applyFill="1" applyBorder="1" applyAlignment="1">
      <alignment horizontal="left" vertical="center" wrapText="1"/>
    </xf>
    <xf numFmtId="0" fontId="42" fillId="0" borderId="0" xfId="0" applyFont="1"/>
    <xf numFmtId="0" fontId="6" fillId="0" borderId="1" xfId="0" applyFont="1" applyFill="1" applyBorder="1" applyAlignment="1">
      <alignment horizontal="center" vertical="center" wrapText="1"/>
    </xf>
    <xf numFmtId="2" fontId="18" fillId="0" borderId="3" xfId="0" applyNumberFormat="1" applyFont="1" applyFill="1" applyBorder="1" applyAlignment="1">
      <alignment horizontal="center" vertical="top"/>
    </xf>
    <xf numFmtId="2" fontId="18" fillId="0" borderId="1" xfId="0" applyNumberFormat="1" applyFont="1" applyFill="1" applyBorder="1" applyAlignment="1">
      <alignment horizontal="center" vertical="top"/>
    </xf>
    <xf numFmtId="2" fontId="17" fillId="0" borderId="4" xfId="0" applyNumberFormat="1" applyFont="1" applyFill="1" applyBorder="1" applyAlignment="1">
      <alignment horizontal="center" vertical="top"/>
    </xf>
    <xf numFmtId="2" fontId="18" fillId="0" borderId="4" xfId="0" applyNumberFormat="1" applyFont="1" applyFill="1" applyBorder="1" applyAlignment="1">
      <alignment horizontal="center" vertical="top"/>
    </xf>
    <xf numFmtId="2" fontId="17" fillId="0" borderId="20" xfId="0" applyNumberFormat="1" applyFont="1" applyFill="1" applyBorder="1" applyAlignment="1">
      <alignment horizontal="center" vertical="top"/>
    </xf>
    <xf numFmtId="2" fontId="18" fillId="0" borderId="16" xfId="0" applyNumberFormat="1" applyFont="1" applyFill="1" applyBorder="1" applyAlignment="1">
      <alignment horizontal="center" vertical="top"/>
    </xf>
    <xf numFmtId="2" fontId="10" fillId="0" borderId="1" xfId="0" applyNumberFormat="1" applyFont="1" applyFill="1" applyBorder="1" applyAlignment="1">
      <alignment horizontal="center" vertical="top"/>
    </xf>
    <xf numFmtId="0" fontId="17" fillId="0" borderId="1" xfId="0" applyFont="1" applyFill="1" applyBorder="1" applyAlignment="1">
      <alignment horizontal="left" vertical="top" wrapText="1"/>
    </xf>
    <xf numFmtId="0" fontId="6" fillId="0" borderId="0" xfId="0" applyFont="1" applyFill="1" applyAlignment="1">
      <alignment horizontal="right"/>
    </xf>
    <xf numFmtId="0" fontId="6" fillId="0" borderId="0" xfId="0" applyFont="1" applyFill="1" applyAlignment="1">
      <alignment horizontal="right" wrapText="1"/>
    </xf>
    <xf numFmtId="166" fontId="18" fillId="0" borderId="4" xfId="0" applyNumberFormat="1" applyFont="1" applyFill="1" applyBorder="1" applyAlignment="1">
      <alignment horizontal="center" vertical="top"/>
    </xf>
    <xf numFmtId="2" fontId="18" fillId="0" borderId="27" xfId="0" applyNumberFormat="1" applyFont="1" applyFill="1" applyBorder="1" applyAlignment="1">
      <alignment horizontal="justify" vertical="top"/>
    </xf>
    <xf numFmtId="166" fontId="18" fillId="0" borderId="3" xfId="0" applyNumberFormat="1" applyFont="1" applyFill="1" applyBorder="1" applyAlignment="1">
      <alignment horizontal="center" vertical="top" wrapText="1"/>
    </xf>
    <xf numFmtId="4"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11" fillId="0" borderId="1" xfId="0" applyFont="1" applyFill="1" applyBorder="1" applyAlignment="1">
      <alignment horizontal="left" vertical="top"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xf>
    <xf numFmtId="0" fontId="6" fillId="0" borderId="1" xfId="0" applyFont="1" applyFill="1" applyBorder="1" applyAlignment="1">
      <alignment horizontal="center" vertical="center" wrapText="1"/>
    </xf>
    <xf numFmtId="166" fontId="6" fillId="0" borderId="0" xfId="0" applyNumberFormat="1" applyFont="1" applyFill="1" applyBorder="1" applyAlignment="1">
      <alignment horizontal="justify" vertical="top" wrapText="1"/>
    </xf>
    <xf numFmtId="167" fontId="6" fillId="0" borderId="0" xfId="0" applyNumberFormat="1" applyFont="1" applyFill="1"/>
    <xf numFmtId="0" fontId="43" fillId="0" borderId="0" xfId="0" applyFont="1" applyFill="1"/>
    <xf numFmtId="0" fontId="18" fillId="0" borderId="1" xfId="0" applyFont="1" applyFill="1" applyBorder="1" applyAlignment="1">
      <alignment horizontal="center" vertical="top" wrapText="1"/>
    </xf>
    <xf numFmtId="0" fontId="18" fillId="0" borderId="2" xfId="0" applyFont="1" applyFill="1" applyBorder="1" applyAlignment="1">
      <alignment horizontal="center" vertical="top" wrapText="1"/>
    </xf>
    <xf numFmtId="0" fontId="18" fillId="0" borderId="14"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6" fillId="0" borderId="23" xfId="0" applyFont="1" applyFill="1" applyBorder="1" applyAlignment="1">
      <alignment horizontal="center" vertical="top" wrapText="1"/>
    </xf>
    <xf numFmtId="0" fontId="6" fillId="0" borderId="1" xfId="0" applyFont="1" applyFill="1" applyBorder="1" applyAlignment="1">
      <alignment horizontal="center" vertical="top" wrapText="1"/>
    </xf>
    <xf numFmtId="168" fontId="6" fillId="0" borderId="23" xfId="0" applyNumberFormat="1" applyFont="1" applyFill="1" applyBorder="1" applyAlignment="1">
      <alignment horizontal="center" vertical="center"/>
    </xf>
    <xf numFmtId="168" fontId="6" fillId="0" borderId="19" xfId="0" applyNumberFormat="1" applyFont="1" applyFill="1" applyBorder="1" applyAlignment="1">
      <alignment horizontal="center" vertical="center"/>
    </xf>
    <xf numFmtId="0" fontId="6" fillId="0" borderId="0" xfId="0" applyFont="1" applyFill="1" applyAlignment="1">
      <alignment horizontal="center" vertical="top" wrapText="1"/>
    </xf>
    <xf numFmtId="0" fontId="6" fillId="0" borderId="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14" xfId="0" applyFont="1" applyFill="1" applyBorder="1" applyAlignment="1">
      <alignment horizontal="center" vertical="top" wrapText="1"/>
    </xf>
    <xf numFmtId="0" fontId="6" fillId="0" borderId="3" xfId="0" applyFont="1" applyFill="1" applyBorder="1" applyAlignment="1">
      <alignment horizontal="center" vertical="top" wrapText="1"/>
    </xf>
    <xf numFmtId="1" fontId="6" fillId="0" borderId="31" xfId="0" applyNumberFormat="1" applyFont="1" applyFill="1" applyBorder="1" applyAlignment="1">
      <alignment horizontal="center" vertical="top" wrapText="1"/>
    </xf>
    <xf numFmtId="168" fontId="6" fillId="0" borderId="19" xfId="0" applyNumberFormat="1" applyFont="1" applyFill="1" applyBorder="1" applyAlignment="1" applyProtection="1">
      <alignment horizontal="center" vertical="center"/>
      <protection hidden="1"/>
    </xf>
    <xf numFmtId="0" fontId="6" fillId="0" borderId="3" xfId="0" applyFont="1" applyFill="1" applyBorder="1" applyAlignment="1">
      <alignment horizontal="center" vertical="center" wrapText="1"/>
    </xf>
    <xf numFmtId="167" fontId="19" fillId="0" borderId="23" xfId="0" applyNumberFormat="1" applyFont="1" applyFill="1" applyBorder="1" applyAlignment="1">
      <alignment horizontal="center" vertical="center" wrapText="1"/>
    </xf>
    <xf numFmtId="167" fontId="19" fillId="0" borderId="19" xfId="0" applyNumberFormat="1" applyFont="1" applyFill="1" applyBorder="1" applyAlignment="1">
      <alignment horizontal="center" vertical="center" wrapText="1"/>
    </xf>
    <xf numFmtId="0" fontId="2" fillId="0" borderId="0" xfId="0" applyFont="1" applyFill="1" applyAlignment="1">
      <alignment wrapText="1"/>
    </xf>
    <xf numFmtId="0" fontId="18" fillId="0" borderId="0" xfId="0" applyFont="1" applyFill="1"/>
    <xf numFmtId="0" fontId="2" fillId="0" borderId="0" xfId="0" applyFont="1" applyFill="1"/>
    <xf numFmtId="0" fontId="6" fillId="0" borderId="0" xfId="0" applyFont="1" applyFill="1" applyBorder="1" applyAlignment="1">
      <alignment wrapText="1"/>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2" fontId="2" fillId="0" borderId="19" xfId="0" applyNumberFormat="1" applyFont="1" applyFill="1" applyBorder="1" applyAlignment="1">
      <alignment horizontal="center" vertical="center"/>
    </xf>
    <xf numFmtId="0" fontId="2" fillId="0" borderId="1" xfId="0" applyFont="1" applyFill="1" applyBorder="1" applyAlignment="1">
      <alignment horizontal="center" vertical="center"/>
    </xf>
    <xf numFmtId="4" fontId="3" fillId="0" borderId="1" xfId="0" applyNumberFormat="1" applyFont="1" applyFill="1" applyBorder="1" applyAlignment="1">
      <alignment horizontal="center" vertical="center"/>
    </xf>
    <xf numFmtId="0" fontId="2" fillId="0" borderId="0" xfId="0" applyFont="1" applyFill="1" applyAlignment="1">
      <alignment horizontal="center" vertical="center"/>
    </xf>
    <xf numFmtId="2"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8" fillId="0" borderId="1"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6" fillId="0" borderId="1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0" xfId="0" applyFont="1" applyFill="1" applyAlignment="1">
      <alignment horizontal="center" vertical="center" wrapText="1"/>
    </xf>
    <xf numFmtId="0" fontId="19" fillId="0" borderId="0" xfId="0" applyFont="1" applyFill="1" applyAlignment="1">
      <alignment horizontal="center"/>
    </xf>
    <xf numFmtId="166" fontId="64" fillId="0" borderId="0" xfId="0" applyNumberFormat="1" applyFont="1" applyFill="1"/>
    <xf numFmtId="0" fontId="22" fillId="0" borderId="3" xfId="0" applyFont="1" applyFill="1" applyBorder="1" applyAlignment="1">
      <alignment horizontal="left" vertical="top" wrapText="1"/>
    </xf>
    <xf numFmtId="166" fontId="63" fillId="0" borderId="3" xfId="0" applyNumberFormat="1" applyFont="1" applyFill="1" applyBorder="1" applyAlignment="1">
      <alignment horizontal="justify" vertical="top" wrapText="1"/>
    </xf>
    <xf numFmtId="0" fontId="22" fillId="0" borderId="2" xfId="0" applyFont="1" applyFill="1" applyBorder="1" applyAlignment="1">
      <alignment horizontal="left" vertical="top" wrapText="1"/>
    </xf>
    <xf numFmtId="166" fontId="63" fillId="0" borderId="2" xfId="0" applyNumberFormat="1" applyFont="1" applyFill="1" applyBorder="1" applyAlignment="1">
      <alignment horizontal="justify" vertical="top" wrapText="1"/>
    </xf>
    <xf numFmtId="166" fontId="63" fillId="0" borderId="14" xfId="0" applyNumberFormat="1" applyFont="1" applyFill="1" applyBorder="1" applyAlignment="1">
      <alignment horizontal="justify" vertical="top" wrapText="1"/>
    </xf>
    <xf numFmtId="166" fontId="63" fillId="0" borderId="1" xfId="0" applyNumberFormat="1" applyFont="1" applyFill="1" applyBorder="1" applyAlignment="1">
      <alignment horizontal="justify" vertical="top"/>
    </xf>
    <xf numFmtId="166" fontId="63" fillId="0" borderId="1" xfId="0" applyNumberFormat="1" applyFont="1" applyFill="1" applyBorder="1" applyAlignment="1">
      <alignment horizontal="left" vertical="top"/>
    </xf>
    <xf numFmtId="0" fontId="22" fillId="0" borderId="14" xfId="0" applyFont="1" applyFill="1" applyBorder="1" applyAlignment="1">
      <alignment horizontal="left" vertical="top" wrapText="1"/>
    </xf>
    <xf numFmtId="16" fontId="22" fillId="0" borderId="2" xfId="0" applyNumberFormat="1" applyFont="1" applyFill="1" applyBorder="1" applyAlignment="1">
      <alignment horizontal="left" vertical="top" wrapText="1"/>
    </xf>
    <xf numFmtId="16" fontId="22" fillId="0" borderId="1" xfId="0" applyNumberFormat="1" applyFont="1" applyFill="1" applyBorder="1" applyAlignment="1">
      <alignment horizontal="left" vertical="top" wrapText="1"/>
    </xf>
    <xf numFmtId="166" fontId="63" fillId="0" borderId="1" xfId="0" quotePrefix="1" applyNumberFormat="1" applyFont="1" applyFill="1" applyBorder="1" applyAlignment="1">
      <alignment horizontal="justify" vertical="top" wrapText="1"/>
    </xf>
    <xf numFmtId="0" fontId="22" fillId="0" borderId="1" xfId="0" applyFont="1" applyFill="1" applyBorder="1" applyAlignment="1">
      <alignment vertical="top" wrapText="1"/>
    </xf>
    <xf numFmtId="0" fontId="22" fillId="0" borderId="28" xfId="0" applyFont="1" applyFill="1" applyBorder="1" applyAlignment="1">
      <alignment horizontal="left" vertical="top" wrapText="1"/>
    </xf>
    <xf numFmtId="0" fontId="2" fillId="0" borderId="15" xfId="0" applyFont="1" applyFill="1" applyBorder="1" applyAlignment="1">
      <alignment horizontal="left" vertical="top" wrapText="1"/>
    </xf>
    <xf numFmtId="1" fontId="2" fillId="0" borderId="2" xfId="0" applyNumberFormat="1" applyFont="1" applyFill="1" applyBorder="1" applyAlignment="1">
      <alignment horizontal="center" vertical="top" wrapText="1"/>
    </xf>
    <xf numFmtId="165" fontId="2" fillId="0" borderId="1" xfId="0" applyNumberFormat="1" applyFont="1" applyFill="1" applyBorder="1" applyAlignment="1">
      <alignment horizontal="center" vertical="top" wrapText="1"/>
    </xf>
    <xf numFmtId="165" fontId="2" fillId="0" borderId="2" xfId="0" applyNumberFormat="1" applyFont="1" applyFill="1" applyBorder="1" applyAlignment="1">
      <alignment horizontal="center" vertical="top" wrapText="1"/>
    </xf>
    <xf numFmtId="1" fontId="2" fillId="0" borderId="1" xfId="0" applyNumberFormat="1" applyFont="1" applyFill="1" applyBorder="1" applyAlignment="1">
      <alignment horizontal="center" vertical="top" wrapText="1"/>
    </xf>
    <xf numFmtId="0" fontId="2" fillId="0" borderId="1" xfId="0" applyFont="1" applyFill="1" applyBorder="1" applyAlignment="1">
      <alignment horizontal="left" vertical="top" wrapText="1"/>
    </xf>
    <xf numFmtId="2" fontId="2" fillId="0" borderId="1"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xf>
    <xf numFmtId="0" fontId="3" fillId="0" borderId="3" xfId="0" applyFont="1" applyFill="1" applyBorder="1" applyAlignment="1">
      <alignment horizontal="center" vertical="center" wrapText="1"/>
    </xf>
    <xf numFmtId="2" fontId="3" fillId="0" borderId="1" xfId="0" applyNumberFormat="1" applyFont="1" applyFill="1" applyBorder="1" applyAlignment="1">
      <alignment horizontal="center"/>
    </xf>
    <xf numFmtId="0" fontId="68" fillId="0" borderId="1" xfId="0" applyFont="1" applyFill="1" applyBorder="1" applyAlignment="1">
      <alignment vertical="center" wrapText="1"/>
    </xf>
    <xf numFmtId="0" fontId="68" fillId="0" borderId="1" xfId="0" applyFont="1" applyFill="1" applyBorder="1" applyAlignment="1">
      <alignment horizontal="center" vertical="center" wrapText="1"/>
    </xf>
    <xf numFmtId="2" fontId="3" fillId="0" borderId="3" xfId="0" applyNumberFormat="1" applyFont="1" applyFill="1" applyBorder="1" applyAlignment="1">
      <alignment horizontal="center" vertical="center"/>
    </xf>
    <xf numFmtId="0" fontId="2" fillId="0" borderId="1" xfId="0" applyFont="1" applyFill="1" applyBorder="1" applyAlignment="1">
      <alignment horizontal="center"/>
    </xf>
    <xf numFmtId="0" fontId="0" fillId="0" borderId="3" xfId="0" applyFill="1" applyBorder="1"/>
    <xf numFmtId="167" fontId="6" fillId="0" borderId="1" xfId="0" applyNumberFormat="1" applyFont="1" applyFill="1" applyBorder="1" applyAlignment="1" applyProtection="1">
      <alignment horizontal="center" vertical="center" wrapText="1"/>
      <protection hidden="1"/>
    </xf>
    <xf numFmtId="4" fontId="6" fillId="0" borderId="1" xfId="0" applyNumberFormat="1" applyFont="1" applyFill="1" applyBorder="1" applyAlignment="1" applyProtection="1">
      <alignment horizontal="center" vertical="center" wrapText="1"/>
      <protection locked="0" hidden="1"/>
    </xf>
    <xf numFmtId="167" fontId="6" fillId="0" borderId="1" xfId="0" applyNumberFormat="1" applyFont="1" applyFill="1" applyBorder="1" applyAlignment="1" applyProtection="1">
      <alignment horizontal="center" vertical="center" wrapText="1"/>
      <protection locked="0" hidden="1"/>
    </xf>
    <xf numFmtId="167" fontId="6" fillId="0" borderId="19" xfId="0" applyNumberFormat="1" applyFont="1" applyFill="1" applyBorder="1" applyAlignment="1">
      <alignment horizontal="center" vertical="center"/>
    </xf>
    <xf numFmtId="167" fontId="6" fillId="0" borderId="19" xfId="0" applyNumberFormat="1" applyFont="1" applyFill="1" applyBorder="1" applyAlignment="1">
      <alignment horizontal="center" vertical="center" wrapText="1"/>
    </xf>
    <xf numFmtId="167" fontId="6" fillId="0" borderId="1" xfId="0" applyNumberFormat="1" applyFont="1" applyFill="1" applyBorder="1" applyAlignment="1">
      <alignment horizontal="center" vertical="center" wrapText="1"/>
    </xf>
    <xf numFmtId="4" fontId="6" fillId="0" borderId="19"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0" fontId="6" fillId="0" borderId="1" xfId="0" applyFont="1" applyFill="1" applyBorder="1" applyAlignment="1">
      <alignment vertical="top" wrapText="1"/>
    </xf>
    <xf numFmtId="0" fontId="19" fillId="0" borderId="1" xfId="0" applyFont="1" applyFill="1" applyBorder="1" applyAlignment="1">
      <alignment horizontal="center" vertical="center"/>
    </xf>
    <xf numFmtId="165" fontId="19" fillId="0" borderId="1" xfId="0" applyNumberFormat="1" applyFont="1" applyFill="1" applyBorder="1" applyAlignment="1">
      <alignment horizontal="center" vertical="center"/>
    </xf>
    <xf numFmtId="0" fontId="19" fillId="0" borderId="1" xfId="0" applyFont="1" applyFill="1" applyBorder="1" applyAlignment="1">
      <alignment horizontal="center" vertical="top" wrapText="1"/>
    </xf>
    <xf numFmtId="0" fontId="19" fillId="0" borderId="1" xfId="0" applyFont="1" applyFill="1" applyBorder="1" applyAlignment="1">
      <alignment horizontal="center"/>
    </xf>
    <xf numFmtId="0" fontId="0" fillId="0" borderId="0" xfId="0" applyFill="1" applyBorder="1" applyAlignment="1">
      <alignment wrapText="1"/>
    </xf>
    <xf numFmtId="0" fontId="18" fillId="0" borderId="11" xfId="0" applyFont="1" applyFill="1" applyBorder="1" applyAlignment="1">
      <alignment horizontal="center" vertical="center" wrapText="1"/>
    </xf>
    <xf numFmtId="0" fontId="18" fillId="0" borderId="9" xfId="0" applyFont="1" applyFill="1" applyBorder="1" applyAlignment="1">
      <alignment horizontal="center" vertical="center" wrapText="1"/>
    </xf>
    <xf numFmtId="1" fontId="18" fillId="0" borderId="10" xfId="0" applyNumberFormat="1" applyFont="1" applyFill="1" applyBorder="1" applyAlignment="1">
      <alignment horizontal="center" vertical="center"/>
    </xf>
    <xf numFmtId="1" fontId="18" fillId="0" borderId="12" xfId="0" applyNumberFormat="1" applyFont="1" applyFill="1" applyBorder="1" applyAlignment="1">
      <alignment horizontal="center" vertical="center"/>
    </xf>
    <xf numFmtId="0" fontId="18" fillId="0" borderId="12" xfId="0" applyFont="1" applyFill="1" applyBorder="1" applyAlignment="1">
      <alignment horizontal="center" vertical="center" wrapText="1"/>
    </xf>
    <xf numFmtId="0" fontId="18" fillId="0" borderId="45" xfId="0" applyFont="1" applyFill="1" applyBorder="1" applyAlignment="1">
      <alignment horizontal="center" vertical="center" wrapText="1"/>
    </xf>
    <xf numFmtId="1" fontId="18" fillId="0" borderId="10" xfId="0" applyNumberFormat="1" applyFont="1" applyFill="1" applyBorder="1" applyAlignment="1">
      <alignment horizontal="center" vertical="center" wrapText="1"/>
    </xf>
    <xf numFmtId="1" fontId="18" fillId="0" borderId="12" xfId="0" applyNumberFormat="1" applyFont="1" applyFill="1" applyBorder="1" applyAlignment="1">
      <alignment horizontal="center" vertical="center" wrapText="1"/>
    </xf>
    <xf numFmtId="1" fontId="18" fillId="0" borderId="26" xfId="0" applyNumberFormat="1" applyFont="1" applyFill="1" applyBorder="1" applyAlignment="1">
      <alignment horizontal="center" vertical="center"/>
    </xf>
    <xf numFmtId="2" fontId="38" fillId="0" borderId="12" xfId="0" applyNumberFormat="1" applyFont="1" applyFill="1" applyBorder="1" applyAlignment="1">
      <alignment horizontal="center" vertical="center" wrapText="1"/>
    </xf>
    <xf numFmtId="166" fontId="18" fillId="0" borderId="12" xfId="0" applyNumberFormat="1" applyFont="1" applyFill="1" applyBorder="1" applyAlignment="1">
      <alignment horizontal="center" vertical="center"/>
    </xf>
    <xf numFmtId="0" fontId="18" fillId="0" borderId="12" xfId="0" applyFont="1" applyFill="1" applyBorder="1" applyAlignment="1">
      <alignment vertical="center"/>
    </xf>
    <xf numFmtId="2" fontId="38" fillId="0" borderId="40" xfId="0" applyNumberFormat="1" applyFont="1" applyFill="1" applyBorder="1" applyAlignment="1">
      <alignment horizontal="center" vertical="center" wrapText="1"/>
    </xf>
    <xf numFmtId="0" fontId="17" fillId="0" borderId="1" xfId="0" applyFont="1" applyFill="1" applyBorder="1" applyAlignment="1">
      <alignment horizontal="center" wrapText="1"/>
    </xf>
    <xf numFmtId="2" fontId="2" fillId="0" borderId="19" xfId="0" applyNumberFormat="1" applyFont="1" applyFill="1" applyBorder="1" applyAlignment="1">
      <alignment horizontal="center" vertical="center" wrapText="1"/>
    </xf>
    <xf numFmtId="0" fontId="18" fillId="0" borderId="3" xfId="0" applyFont="1" applyFill="1" applyBorder="1" applyAlignment="1">
      <alignment horizontal="left" vertical="top" wrapText="1"/>
    </xf>
    <xf numFmtId="0" fontId="18" fillId="0" borderId="1" xfId="0" applyFont="1" applyFill="1" applyBorder="1" applyAlignment="1">
      <alignment horizontal="left" vertical="top" wrapText="1"/>
    </xf>
    <xf numFmtId="166" fontId="18" fillId="0" borderId="1" xfId="0" applyNumberFormat="1" applyFont="1" applyFill="1" applyBorder="1" applyAlignment="1">
      <alignment horizontal="center" vertical="top" wrapText="1"/>
    </xf>
    <xf numFmtId="2" fontId="18" fillId="0" borderId="42" xfId="0" applyNumberFormat="1" applyFont="1" applyFill="1" applyBorder="1" applyAlignment="1">
      <alignment horizontal="center" vertical="top"/>
    </xf>
    <xf numFmtId="2" fontId="18" fillId="0" borderId="14" xfId="0" applyNumberFormat="1" applyFont="1" applyFill="1" applyBorder="1" applyAlignment="1">
      <alignment horizontal="center" vertical="top"/>
    </xf>
    <xf numFmtId="2" fontId="18" fillId="0" borderId="2" xfId="0" applyNumberFormat="1" applyFont="1" applyFill="1" applyBorder="1" applyAlignment="1">
      <alignment horizontal="center" vertical="top"/>
    </xf>
    <xf numFmtId="0" fontId="10" fillId="0" borderId="23"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66" fillId="0" borderId="23" xfId="0" applyFont="1" applyFill="1" applyBorder="1" applyAlignment="1">
      <alignment horizontal="center" vertical="center" wrapText="1"/>
    </xf>
    <xf numFmtId="0" fontId="66" fillId="0" borderId="19"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23" xfId="0" applyFont="1" applyFill="1" applyBorder="1" applyAlignment="1">
      <alignment horizontal="center" vertical="top" wrapText="1"/>
    </xf>
    <xf numFmtId="0" fontId="20" fillId="0" borderId="19" xfId="0" applyFont="1" applyFill="1" applyBorder="1" applyAlignment="1">
      <alignment horizontal="center" vertical="top" wrapText="1"/>
    </xf>
    <xf numFmtId="0" fontId="0" fillId="0" borderId="19" xfId="0" applyFill="1" applyBorder="1" applyAlignment="1">
      <alignment horizontal="center" vertical="top" wrapText="1"/>
    </xf>
    <xf numFmtId="0" fontId="45" fillId="3" borderId="0" xfId="0" applyFont="1" applyFill="1" applyAlignment="1">
      <alignment horizontal="left" vertical="top" wrapText="1"/>
    </xf>
    <xf numFmtId="0" fontId="48" fillId="0" borderId="23" xfId="0" applyFont="1" applyFill="1" applyBorder="1" applyAlignment="1">
      <alignment horizontal="center" vertical="top" wrapText="1"/>
    </xf>
    <xf numFmtId="0" fontId="48" fillId="0" borderId="29" xfId="0" applyFont="1" applyFill="1" applyBorder="1" applyAlignment="1">
      <alignment horizontal="center" vertical="top" wrapText="1"/>
    </xf>
    <xf numFmtId="0" fontId="48" fillId="0" borderId="19" xfId="0" applyFont="1" applyFill="1" applyBorder="1" applyAlignment="1">
      <alignment horizontal="center" vertical="top" wrapText="1"/>
    </xf>
    <xf numFmtId="0" fontId="21" fillId="0" borderId="1" xfId="0" applyFont="1" applyFill="1" applyBorder="1" applyAlignment="1">
      <alignment horizontal="center" vertical="top" wrapText="1"/>
    </xf>
    <xf numFmtId="0" fontId="20" fillId="0" borderId="7" xfId="0" applyFont="1" applyFill="1" applyBorder="1" applyAlignment="1">
      <alignment horizontal="center" vertical="top" wrapText="1"/>
    </xf>
    <xf numFmtId="0" fontId="20" fillId="0" borderId="21" xfId="0" applyFont="1" applyFill="1" applyBorder="1" applyAlignment="1">
      <alignment horizontal="center" vertical="top" wrapText="1"/>
    </xf>
    <xf numFmtId="0" fontId="48" fillId="0" borderId="1" xfId="0" applyFont="1" applyFill="1" applyBorder="1" applyAlignment="1">
      <alignment horizontal="center" vertical="top" wrapText="1"/>
    </xf>
    <xf numFmtId="0" fontId="21" fillId="0" borderId="26" xfId="0" applyFont="1" applyFill="1" applyBorder="1" applyAlignment="1">
      <alignment horizontal="center" vertical="top" wrapText="1"/>
    </xf>
    <xf numFmtId="0" fontId="21" fillId="0" borderId="16" xfId="0" applyFont="1" applyFill="1" applyBorder="1" applyAlignment="1">
      <alignment horizontal="center" vertical="top" wrapText="1"/>
    </xf>
    <xf numFmtId="0" fontId="21" fillId="0" borderId="40" xfId="0" applyFont="1" applyFill="1" applyBorder="1" applyAlignment="1">
      <alignment horizontal="left" vertical="top" wrapText="1"/>
    </xf>
    <xf numFmtId="0" fontId="21" fillId="0" borderId="41" xfId="0" applyFont="1" applyFill="1" applyBorder="1" applyAlignment="1">
      <alignment horizontal="left" vertical="top" wrapText="1"/>
    </xf>
    <xf numFmtId="0" fontId="21" fillId="0" borderId="1" xfId="0" applyFont="1" applyFill="1" applyBorder="1" applyAlignment="1">
      <alignment horizontal="left" vertical="top" wrapText="1"/>
    </xf>
    <xf numFmtId="0" fontId="21" fillId="0" borderId="26" xfId="0" applyFont="1" applyFill="1" applyBorder="1" applyAlignment="1">
      <alignment horizontal="left" vertical="top" wrapText="1"/>
    </xf>
    <xf numFmtId="0" fontId="21" fillId="0" borderId="16" xfId="0" applyFont="1" applyFill="1" applyBorder="1" applyAlignment="1">
      <alignment horizontal="left" vertical="top" wrapText="1"/>
    </xf>
    <xf numFmtId="0" fontId="21" fillId="0" borderId="26" xfId="0" applyNumberFormat="1" applyFont="1" applyFill="1" applyBorder="1" applyAlignment="1">
      <alignment horizontal="center" vertical="top" wrapText="1"/>
    </xf>
    <xf numFmtId="0" fontId="21" fillId="0" borderId="25" xfId="0" applyNumberFormat="1" applyFont="1" applyFill="1" applyBorder="1" applyAlignment="1">
      <alignment horizontal="center" vertical="top" wrapText="1"/>
    </xf>
    <xf numFmtId="0" fontId="21" fillId="0" borderId="0" xfId="0" applyFont="1" applyFill="1" applyAlignment="1">
      <alignment horizontal="center" vertical="top" wrapText="1"/>
    </xf>
    <xf numFmtId="0" fontId="10" fillId="0" borderId="28" xfId="0" applyFont="1" applyFill="1" applyBorder="1" applyAlignment="1">
      <alignment horizontal="center"/>
    </xf>
    <xf numFmtId="0" fontId="18" fillId="0" borderId="1" xfId="0" applyFont="1" applyFill="1" applyBorder="1" applyAlignment="1">
      <alignment horizontal="center" vertical="top" wrapText="1"/>
    </xf>
    <xf numFmtId="0" fontId="18" fillId="0" borderId="2" xfId="0" applyFont="1" applyFill="1" applyBorder="1" applyAlignment="1">
      <alignment horizontal="center" vertical="top" wrapText="1"/>
    </xf>
    <xf numFmtId="0" fontId="18" fillId="0" borderId="14" xfId="0" applyFont="1" applyFill="1" applyBorder="1" applyAlignment="1">
      <alignment horizontal="center" vertical="top" wrapText="1"/>
    </xf>
    <xf numFmtId="0" fontId="18" fillId="0" borderId="20" xfId="0" applyFont="1" applyFill="1" applyBorder="1" applyAlignment="1">
      <alignment horizontal="center" vertical="top" wrapText="1"/>
    </xf>
    <xf numFmtId="0" fontId="20" fillId="0" borderId="29" xfId="0" applyFont="1" applyFill="1" applyBorder="1" applyAlignment="1">
      <alignment horizontal="center" vertical="top" wrapText="1"/>
    </xf>
    <xf numFmtId="0" fontId="20" fillId="0" borderId="2" xfId="0" applyFont="1" applyFill="1" applyBorder="1" applyAlignment="1">
      <alignment horizontal="center" vertical="top" wrapText="1"/>
    </xf>
    <xf numFmtId="0" fontId="20" fillId="0" borderId="3"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3" xfId="0" applyFont="1" applyFill="1" applyBorder="1" applyAlignment="1">
      <alignment horizontal="center" vertical="top" wrapText="1"/>
    </xf>
    <xf numFmtId="0" fontId="3" fillId="0" borderId="23"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3" xfId="0" applyFont="1" applyFill="1" applyBorder="1" applyAlignment="1">
      <alignment horizontal="center" vertical="top" wrapText="1"/>
    </xf>
    <xf numFmtId="0" fontId="3" fillId="0" borderId="19" xfId="0" applyFont="1" applyFill="1" applyBorder="1" applyAlignment="1">
      <alignment horizontal="center" vertical="top" wrapText="1"/>
    </xf>
    <xf numFmtId="0" fontId="2" fillId="0" borderId="23"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19" xfId="0" applyFont="1" applyFill="1" applyBorder="1" applyAlignment="1">
      <alignment horizontal="left" vertical="top" wrapText="1"/>
    </xf>
    <xf numFmtId="0" fontId="3" fillId="0" borderId="30" xfId="0" applyFont="1" applyFill="1" applyBorder="1" applyAlignment="1">
      <alignment horizontal="left" vertical="top" wrapText="1"/>
    </xf>
    <xf numFmtId="0" fontId="3" fillId="0" borderId="16" xfId="0" applyFont="1" applyFill="1" applyBorder="1" applyAlignment="1">
      <alignment horizontal="left" vertical="top" wrapText="1"/>
    </xf>
    <xf numFmtId="0" fontId="2" fillId="0" borderId="13" xfId="0" applyFont="1" applyFill="1" applyBorder="1" applyAlignment="1">
      <alignment horizontal="center" vertical="top" wrapText="1"/>
    </xf>
    <xf numFmtId="0" fontId="2" fillId="0" borderId="23" xfId="0" applyFont="1" applyFill="1" applyBorder="1" applyAlignment="1">
      <alignment horizontal="justify" vertical="top" wrapText="1"/>
    </xf>
    <xf numFmtId="0" fontId="2" fillId="0" borderId="29" xfId="0" applyFont="1" applyFill="1" applyBorder="1" applyAlignment="1">
      <alignment horizontal="justify" vertical="top" wrapText="1"/>
    </xf>
    <xf numFmtId="0" fontId="2" fillId="0" borderId="19" xfId="0" applyFont="1" applyFill="1" applyBorder="1" applyAlignment="1">
      <alignment horizontal="justify" vertical="top" wrapText="1"/>
    </xf>
    <xf numFmtId="0" fontId="2" fillId="0" borderId="7" xfId="0" applyFont="1" applyFill="1" applyBorder="1" applyAlignment="1">
      <alignment horizontal="justify" vertical="top" wrapText="1"/>
    </xf>
    <xf numFmtId="0" fontId="2" fillId="0" borderId="34" xfId="0" applyFont="1" applyFill="1" applyBorder="1" applyAlignment="1">
      <alignment horizontal="justify" vertical="top" wrapText="1"/>
    </xf>
    <xf numFmtId="0" fontId="2" fillId="0" borderId="21" xfId="0" applyFont="1" applyFill="1" applyBorder="1" applyAlignment="1">
      <alignment horizontal="justify" vertical="top" wrapText="1"/>
    </xf>
    <xf numFmtId="0" fontId="5" fillId="0" borderId="0" xfId="0" applyFont="1" applyFill="1" applyAlignment="1">
      <alignment horizontal="center" vertical="top" wrapText="1"/>
    </xf>
    <xf numFmtId="0" fontId="2" fillId="0" borderId="28" xfId="0" applyFont="1" applyFill="1" applyBorder="1" applyAlignment="1">
      <alignment horizontal="center"/>
    </xf>
    <xf numFmtId="0" fontId="2" fillId="0" borderId="1"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0" borderId="23"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6" fillId="0" borderId="34" xfId="0" applyFont="1" applyFill="1" applyBorder="1" applyAlignment="1">
      <alignment wrapText="1"/>
    </xf>
    <xf numFmtId="0" fontId="0" fillId="0" borderId="34" xfId="0" applyFill="1" applyBorder="1" applyAlignment="1">
      <alignment wrapText="1"/>
    </xf>
    <xf numFmtId="167" fontId="6" fillId="0" borderId="23" xfId="0" applyNumberFormat="1" applyFont="1" applyFill="1" applyBorder="1" applyAlignment="1">
      <alignment horizontal="center" vertical="center" wrapText="1"/>
    </xf>
    <xf numFmtId="167" fontId="6" fillId="0" borderId="19" xfId="0" applyNumberFormat="1" applyFont="1" applyFill="1" applyBorder="1" applyAlignment="1">
      <alignment horizontal="center" vertical="center" wrapText="1"/>
    </xf>
    <xf numFmtId="0" fontId="2" fillId="0" borderId="0" xfId="0" applyFont="1" applyFill="1" applyAlignment="1">
      <alignment horizontal="right" wrapText="1"/>
    </xf>
    <xf numFmtId="0" fontId="0" fillId="0" borderId="0" xfId="0" applyAlignment="1">
      <alignment wrapText="1"/>
    </xf>
    <xf numFmtId="0" fontId="6" fillId="0" borderId="23" xfId="0" applyFont="1" applyFill="1" applyBorder="1" applyAlignment="1">
      <alignment horizontal="center" vertical="top" wrapText="1"/>
    </xf>
    <xf numFmtId="0" fontId="6" fillId="0" borderId="29" xfId="0" applyFont="1" applyFill="1" applyBorder="1" applyAlignment="1">
      <alignment horizontal="center" vertical="top" wrapText="1"/>
    </xf>
    <xf numFmtId="0" fontId="6" fillId="0" borderId="19" xfId="0" applyFont="1" applyFill="1" applyBorder="1" applyAlignment="1">
      <alignment horizontal="center" vertical="top" wrapText="1"/>
    </xf>
    <xf numFmtId="167" fontId="19" fillId="0" borderId="23" xfId="0" applyNumberFormat="1" applyFont="1" applyFill="1" applyBorder="1" applyAlignment="1">
      <alignment horizontal="center" wrapText="1"/>
    </xf>
    <xf numFmtId="167" fontId="19" fillId="0" borderId="19" xfId="0" applyNumberFormat="1" applyFont="1" applyFill="1" applyBorder="1" applyAlignment="1">
      <alignment horizontal="center" wrapText="1"/>
    </xf>
    <xf numFmtId="0" fontId="6" fillId="0" borderId="1" xfId="0" applyFont="1" applyFill="1" applyBorder="1" applyAlignment="1">
      <alignment horizontal="center" vertical="top" wrapText="1"/>
    </xf>
    <xf numFmtId="0" fontId="6" fillId="0" borderId="23" xfId="0" applyFont="1" applyFill="1" applyBorder="1" applyAlignment="1">
      <alignment horizontal="center" vertical="top"/>
    </xf>
    <xf numFmtId="0" fontId="6" fillId="0" borderId="29" xfId="0" applyFont="1" applyFill="1" applyBorder="1" applyAlignment="1">
      <alignment horizontal="center" vertical="top"/>
    </xf>
    <xf numFmtId="0" fontId="6" fillId="0" borderId="19" xfId="0" applyFont="1" applyFill="1" applyBorder="1" applyAlignment="1">
      <alignment horizontal="center" vertical="top"/>
    </xf>
    <xf numFmtId="168" fontId="6" fillId="0" borderId="23" xfId="0" applyNumberFormat="1" applyFont="1" applyFill="1" applyBorder="1" applyAlignment="1">
      <alignment horizontal="center" vertical="center"/>
    </xf>
    <xf numFmtId="168" fontId="6" fillId="0" borderId="19" xfId="0" applyNumberFormat="1" applyFont="1" applyFill="1" applyBorder="1" applyAlignment="1">
      <alignment horizontal="center" vertical="center"/>
    </xf>
    <xf numFmtId="0" fontId="72" fillId="0" borderId="23" xfId="0" applyFont="1" applyFill="1" applyBorder="1" applyAlignment="1">
      <alignment horizontal="center" vertical="top" wrapText="1"/>
    </xf>
    <xf numFmtId="0" fontId="72" fillId="0" borderId="29" xfId="0" applyFont="1" applyFill="1" applyBorder="1" applyAlignment="1">
      <alignment horizontal="center" vertical="top" wrapText="1"/>
    </xf>
    <xf numFmtId="0" fontId="72" fillId="0" borderId="19" xfId="0" applyFont="1" applyFill="1" applyBorder="1" applyAlignment="1">
      <alignment horizontal="center" vertical="top" wrapText="1"/>
    </xf>
    <xf numFmtId="0" fontId="17" fillId="0" borderId="0" xfId="0" applyFont="1" applyFill="1" applyAlignment="1">
      <alignment horizontal="center" vertical="top" wrapText="1"/>
    </xf>
    <xf numFmtId="0" fontId="6" fillId="0" borderId="0" xfId="0" applyFont="1" applyFill="1" applyAlignment="1">
      <alignment horizontal="center" vertical="top" wrapText="1"/>
    </xf>
    <xf numFmtId="168" fontId="6" fillId="0" borderId="23" xfId="0" applyNumberFormat="1" applyFont="1" applyFill="1" applyBorder="1" applyAlignment="1" applyProtection="1">
      <alignment horizontal="center" vertical="center" wrapText="1"/>
      <protection locked="0" hidden="1"/>
    </xf>
    <xf numFmtId="168" fontId="6" fillId="0" borderId="19" xfId="0" applyNumberFormat="1" applyFont="1" applyFill="1" applyBorder="1" applyAlignment="1" applyProtection="1">
      <alignment horizontal="center" vertical="center" wrapText="1"/>
      <protection locked="0" hidden="1"/>
    </xf>
    <xf numFmtId="0" fontId="6" fillId="0" borderId="1"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3" xfId="0" applyFont="1" applyFill="1" applyBorder="1" applyAlignment="1">
      <alignment horizontal="center" vertical="center"/>
    </xf>
    <xf numFmtId="0" fontId="72" fillId="0" borderId="23" xfId="0" applyFont="1" applyFill="1" applyBorder="1" applyAlignment="1">
      <alignment horizontal="center" vertical="center"/>
    </xf>
    <xf numFmtId="0" fontId="72" fillId="0" borderId="19" xfId="0" applyFont="1" applyFill="1" applyBorder="1" applyAlignment="1">
      <alignment horizontal="center" vertical="center"/>
    </xf>
    <xf numFmtId="0" fontId="6" fillId="0" borderId="29"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 xfId="0" applyFont="1" applyFill="1" applyBorder="1" applyAlignment="1">
      <alignment horizontal="center" vertical="top" wrapText="1"/>
    </xf>
    <xf numFmtId="0" fontId="6" fillId="0" borderId="14" xfId="0" applyFont="1" applyFill="1" applyBorder="1" applyAlignment="1">
      <alignment horizontal="center" vertical="top" wrapText="1"/>
    </xf>
    <xf numFmtId="0" fontId="6" fillId="0" borderId="3" xfId="0" applyFont="1" applyFill="1" applyBorder="1" applyAlignment="1">
      <alignment horizontal="center" vertical="top" wrapText="1"/>
    </xf>
    <xf numFmtId="1" fontId="72" fillId="0" borderId="7" xfId="0" applyNumberFormat="1" applyFont="1" applyFill="1" applyBorder="1" applyAlignment="1">
      <alignment horizontal="center" vertical="top" wrapText="1"/>
    </xf>
    <xf numFmtId="1" fontId="6" fillId="0" borderId="21" xfId="0" applyNumberFormat="1" applyFont="1" applyFill="1" applyBorder="1" applyAlignment="1">
      <alignment horizontal="center" vertical="top" wrapText="1"/>
    </xf>
    <xf numFmtId="1" fontId="6" fillId="0" borderId="32" xfId="0" applyNumberFormat="1" applyFont="1" applyFill="1" applyBorder="1" applyAlignment="1">
      <alignment horizontal="center" vertical="top" wrapText="1"/>
    </xf>
    <xf numFmtId="1" fontId="6" fillId="0" borderId="6" xfId="0" applyNumberFormat="1" applyFont="1" applyFill="1" applyBorder="1" applyAlignment="1">
      <alignment horizontal="center" vertical="top" wrapText="1"/>
    </xf>
    <xf numFmtId="1" fontId="6" fillId="0" borderId="31" xfId="0" applyNumberFormat="1" applyFont="1" applyFill="1" applyBorder="1" applyAlignment="1">
      <alignment horizontal="center" vertical="top" wrapText="1"/>
    </xf>
    <xf numFmtId="1" fontId="6" fillId="0" borderId="22" xfId="0" applyNumberFormat="1" applyFont="1" applyFill="1" applyBorder="1" applyAlignment="1">
      <alignment horizontal="center" vertical="top" wrapText="1"/>
    </xf>
    <xf numFmtId="168" fontId="6" fillId="0" borderId="23" xfId="0" applyNumberFormat="1" applyFont="1" applyFill="1" applyBorder="1" applyAlignment="1" applyProtection="1">
      <alignment horizontal="center" vertical="center"/>
      <protection hidden="1"/>
    </xf>
    <xf numFmtId="168" fontId="6" fillId="0" borderId="19" xfId="0" applyNumberFormat="1" applyFont="1" applyFill="1" applyBorder="1" applyAlignment="1" applyProtection="1">
      <alignment horizontal="center" vertical="center"/>
      <protection hidden="1"/>
    </xf>
    <xf numFmtId="167" fontId="6" fillId="0" borderId="23" xfId="0" applyNumberFormat="1" applyFont="1" applyFill="1" applyBorder="1" applyAlignment="1" applyProtection="1">
      <alignment horizontal="center" vertical="center" wrapText="1"/>
      <protection hidden="1"/>
    </xf>
    <xf numFmtId="167" fontId="6" fillId="0" borderId="19" xfId="0" applyNumberFormat="1" applyFont="1" applyFill="1" applyBorder="1" applyAlignment="1" applyProtection="1">
      <alignment horizontal="center" vertical="center" wrapText="1"/>
      <protection hidden="1"/>
    </xf>
    <xf numFmtId="0" fontId="6" fillId="0" borderId="7" xfId="0" applyFont="1" applyFill="1" applyBorder="1" applyAlignment="1">
      <alignment horizontal="center" vertical="top" wrapText="1"/>
    </xf>
    <xf numFmtId="0" fontId="6" fillId="0" borderId="21"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22" xfId="0" applyFont="1" applyFill="1" applyBorder="1" applyAlignment="1">
      <alignment horizontal="center" vertical="top" wrapText="1"/>
    </xf>
    <xf numFmtId="0" fontId="6" fillId="0" borderId="2"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3" xfId="0" applyFill="1" applyBorder="1" applyAlignment="1">
      <alignment horizontal="center" vertical="center" wrapText="1"/>
    </xf>
    <xf numFmtId="0" fontId="6" fillId="0" borderId="7" xfId="0" applyFont="1" applyFill="1" applyBorder="1" applyAlignment="1">
      <alignment horizontal="center" vertical="center" wrapText="1"/>
    </xf>
    <xf numFmtId="0" fontId="0" fillId="0" borderId="21" xfId="0" applyFill="1" applyBorder="1"/>
    <xf numFmtId="0" fontId="0" fillId="0" borderId="32" xfId="0" applyFill="1" applyBorder="1"/>
    <xf numFmtId="0" fontId="0" fillId="0" borderId="6" xfId="0" applyFill="1" applyBorder="1"/>
    <xf numFmtId="0" fontId="0" fillId="0" borderId="31" xfId="0" applyFill="1" applyBorder="1"/>
    <xf numFmtId="0" fontId="0" fillId="0" borderId="22" xfId="0" applyFill="1" applyBorder="1"/>
    <xf numFmtId="0" fontId="0" fillId="0" borderId="14" xfId="0" applyFill="1" applyBorder="1"/>
    <xf numFmtId="0" fontId="0" fillId="0" borderId="3" xfId="0" applyFill="1" applyBorder="1"/>
    <xf numFmtId="166" fontId="19" fillId="0" borderId="2" xfId="0" applyNumberFormat="1" applyFont="1" applyFill="1" applyBorder="1" applyAlignment="1">
      <alignment horizontal="center" vertical="center" wrapText="1"/>
    </xf>
    <xf numFmtId="0" fontId="42" fillId="0" borderId="3" xfId="0" applyFont="1" applyFill="1" applyBorder="1" applyAlignment="1">
      <alignment horizontal="center" vertical="center" wrapText="1"/>
    </xf>
    <xf numFmtId="167" fontId="6" fillId="0" borderId="23" xfId="0" applyNumberFormat="1" applyFont="1" applyFill="1" applyBorder="1" applyAlignment="1" applyProtection="1">
      <alignment horizontal="center" vertical="center" wrapText="1"/>
      <protection locked="0" hidden="1"/>
    </xf>
    <xf numFmtId="167" fontId="6" fillId="0" borderId="19" xfId="0" applyNumberFormat="1" applyFont="1" applyFill="1" applyBorder="1" applyAlignment="1" applyProtection="1">
      <alignment horizontal="center" vertical="center" wrapText="1"/>
      <protection locked="0" hidden="1"/>
    </xf>
    <xf numFmtId="0" fontId="0" fillId="0" borderId="19" xfId="0" applyFill="1" applyBorder="1" applyAlignment="1">
      <alignment horizontal="center" vertical="center" wrapText="1"/>
    </xf>
    <xf numFmtId="0" fontId="0" fillId="0" borderId="1" xfId="0"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top"/>
    </xf>
    <xf numFmtId="0" fontId="6" fillId="0" borderId="3" xfId="0" applyFont="1" applyFill="1" applyBorder="1" applyAlignment="1">
      <alignment horizontal="center" vertical="top"/>
    </xf>
    <xf numFmtId="168" fontId="6" fillId="0" borderId="23" xfId="0" applyNumberFormat="1" applyFont="1" applyFill="1" applyBorder="1" applyAlignment="1" applyProtection="1">
      <alignment horizontal="center" vertical="center"/>
      <protection locked="0"/>
    </xf>
    <xf numFmtId="168" fontId="6" fillId="0" borderId="19" xfId="0" applyNumberFormat="1" applyFont="1" applyFill="1" applyBorder="1" applyAlignment="1" applyProtection="1">
      <alignment horizontal="center" vertical="center"/>
      <protection locked="0"/>
    </xf>
    <xf numFmtId="167" fontId="19" fillId="0" borderId="23" xfId="0" applyNumberFormat="1" applyFont="1" applyFill="1" applyBorder="1" applyAlignment="1">
      <alignment horizontal="center" vertical="center" wrapText="1"/>
    </xf>
    <xf numFmtId="167" fontId="19" fillId="0" borderId="19" xfId="0" applyNumberFormat="1" applyFont="1" applyFill="1" applyBorder="1" applyAlignment="1">
      <alignment horizontal="center" vertical="center" wrapText="1"/>
    </xf>
    <xf numFmtId="0" fontId="6" fillId="0" borderId="0" xfId="0" applyFont="1" applyFill="1" applyAlignment="1">
      <alignment horizontal="left"/>
    </xf>
    <xf numFmtId="0" fontId="0" fillId="0" borderId="0" xfId="0" applyFill="1" applyAlignment="1"/>
    <xf numFmtId="167" fontId="6" fillId="0" borderId="1" xfId="0" applyNumberFormat="1" applyFont="1" applyFill="1" applyBorder="1" applyAlignment="1">
      <alignment horizontal="center" vertical="center" wrapText="1"/>
    </xf>
    <xf numFmtId="1" fontId="72" fillId="0" borderId="21" xfId="0" applyNumberFormat="1" applyFont="1" applyFill="1" applyBorder="1" applyAlignment="1">
      <alignment horizontal="center" vertical="top" wrapText="1"/>
    </xf>
    <xf numFmtId="1" fontId="72" fillId="0" borderId="31" xfId="0" applyNumberFormat="1" applyFont="1" applyFill="1" applyBorder="1" applyAlignment="1">
      <alignment horizontal="center" vertical="top" wrapText="1"/>
    </xf>
    <xf numFmtId="1" fontId="72" fillId="0" borderId="22" xfId="0" applyNumberFormat="1" applyFont="1" applyFill="1" applyBorder="1" applyAlignment="1">
      <alignment horizontal="center" vertical="top" wrapText="1"/>
    </xf>
    <xf numFmtId="0" fontId="2" fillId="0" borderId="0" xfId="0" applyFont="1" applyFill="1" applyAlignment="1">
      <alignment wrapText="1"/>
    </xf>
    <xf numFmtId="0" fontId="0" fillId="0" borderId="0" xfId="0" applyAlignment="1"/>
    <xf numFmtId="0" fontId="6" fillId="0" borderId="50" xfId="0" applyFont="1" applyFill="1" applyBorder="1" applyAlignment="1">
      <alignment horizontal="center" vertical="top" wrapText="1"/>
    </xf>
    <xf numFmtId="0" fontId="0" fillId="0" borderId="37" xfId="0" applyBorder="1" applyAlignment="1">
      <alignment horizontal="center" vertical="top" wrapText="1"/>
    </xf>
    <xf numFmtId="164" fontId="17" fillId="0" borderId="50" xfId="1" applyFont="1" applyFill="1" applyBorder="1" applyAlignment="1">
      <alignment horizontal="center" vertical="center" wrapText="1"/>
    </xf>
    <xf numFmtId="164" fontId="17" fillId="0" borderId="37" xfId="1" applyFont="1" applyFill="1" applyBorder="1" applyAlignment="1">
      <alignment horizontal="center" vertical="center" wrapText="1"/>
    </xf>
    <xf numFmtId="164" fontId="17" fillId="0" borderId="51" xfId="1" applyFont="1" applyFill="1" applyBorder="1" applyAlignment="1">
      <alignment horizontal="center" vertical="center" wrapText="1"/>
    </xf>
    <xf numFmtId="0" fontId="18" fillId="0" borderId="50" xfId="0" applyFont="1" applyFill="1" applyBorder="1" applyAlignment="1">
      <alignment horizontal="center" vertical="top" wrapText="1"/>
    </xf>
    <xf numFmtId="0" fontId="18" fillId="0" borderId="37" xfId="0" applyFont="1" applyFill="1" applyBorder="1" applyAlignment="1">
      <alignment horizontal="center" vertical="top" wrapText="1"/>
    </xf>
    <xf numFmtId="0" fontId="2" fillId="0" borderId="0" xfId="0" applyFont="1" applyFill="1" applyAlignment="1">
      <alignment horizontal="center"/>
    </xf>
    <xf numFmtId="0" fontId="17" fillId="0" borderId="0" xfId="0" applyFont="1" applyFill="1" applyAlignment="1">
      <alignment horizontal="center" vertical="center"/>
    </xf>
    <xf numFmtId="0" fontId="2" fillId="0" borderId="0" xfId="0" applyFont="1" applyFill="1" applyAlignment="1">
      <alignment horizontal="right"/>
    </xf>
    <xf numFmtId="0" fontId="0" fillId="0" borderId="0" xfId="0" applyAlignment="1">
      <alignment horizontal="right"/>
    </xf>
    <xf numFmtId="0" fontId="18" fillId="0" borderId="26"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44" fillId="0" borderId="33" xfId="0" applyFont="1" applyFill="1" applyBorder="1"/>
    <xf numFmtId="0" fontId="18" fillId="0" borderId="0" xfId="0" applyFont="1" applyFill="1" applyAlignment="1">
      <alignment horizontal="center" vertical="center" wrapText="1"/>
    </xf>
    <xf numFmtId="0" fontId="18" fillId="0" borderId="0" xfId="0" applyFont="1" applyFill="1"/>
    <xf numFmtId="0" fontId="26" fillId="0" borderId="0" xfId="0" applyFont="1" applyFill="1" applyAlignment="1">
      <alignment horizontal="right"/>
    </xf>
    <xf numFmtId="0" fontId="53" fillId="0" borderId="0" xfId="0" applyFont="1" applyFill="1" applyAlignment="1">
      <alignment horizontal="center" vertical="top" wrapText="1"/>
    </xf>
    <xf numFmtId="0" fontId="18" fillId="0" borderId="0" xfId="0" applyFont="1" applyFill="1" applyAlignment="1">
      <alignment vertical="top" wrapText="1"/>
    </xf>
    <xf numFmtId="0" fontId="53" fillId="0" borderId="0" xfId="0" applyFont="1" applyFill="1" applyAlignment="1">
      <alignment horizontal="center" wrapText="1"/>
    </xf>
    <xf numFmtId="0" fontId="47" fillId="0" borderId="0" xfId="0" applyFont="1" applyFill="1" applyAlignment="1">
      <alignment horizontal="center" vertical="top" wrapText="1"/>
    </xf>
    <xf numFmtId="0" fontId="45" fillId="0" borderId="10" xfId="0" applyFont="1" applyFill="1" applyBorder="1" applyAlignment="1">
      <alignment vertical="top" wrapText="1"/>
    </xf>
    <xf numFmtId="0" fontId="18" fillId="0" borderId="1" xfId="0" applyFont="1" applyBorder="1" applyAlignment="1">
      <alignment horizontal="center" vertical="top" wrapText="1"/>
    </xf>
    <xf numFmtId="0" fontId="18" fillId="0" borderId="26" xfId="0" applyFont="1" applyFill="1" applyBorder="1" applyAlignment="1">
      <alignment horizontal="center" vertical="top" wrapText="1"/>
    </xf>
    <xf numFmtId="0" fontId="18" fillId="0" borderId="18" xfId="0" applyFont="1" applyFill="1" applyBorder="1" applyAlignment="1">
      <alignment horizontal="center" vertical="top" wrapText="1"/>
    </xf>
    <xf numFmtId="0" fontId="2" fillId="0" borderId="0" xfId="0" applyFont="1" applyFill="1"/>
    <xf numFmtId="0" fontId="6" fillId="0" borderId="0" xfId="0" applyFont="1" applyFill="1" applyBorder="1" applyAlignment="1">
      <alignment wrapText="1"/>
    </xf>
    <xf numFmtId="0" fontId="18" fillId="0" borderId="23" xfId="0" applyFont="1" applyFill="1" applyBorder="1" applyAlignment="1">
      <alignment horizontal="center" vertical="center"/>
    </xf>
    <xf numFmtId="0" fontId="18" fillId="0" borderId="19" xfId="0" applyFont="1" applyFill="1" applyBorder="1" applyAlignment="1">
      <alignment horizontal="center" vertical="center"/>
    </xf>
    <xf numFmtId="0" fontId="2" fillId="0" borderId="0" xfId="0" applyFont="1" applyFill="1" applyAlignment="1">
      <alignment vertical="center"/>
    </xf>
    <xf numFmtId="0" fontId="18" fillId="0" borderId="23" xfId="0" applyFont="1" applyFill="1" applyBorder="1" applyAlignment="1">
      <alignment horizontal="center"/>
    </xf>
    <xf numFmtId="0" fontId="18" fillId="0" borderId="19" xfId="0" applyFont="1" applyFill="1" applyBorder="1" applyAlignment="1">
      <alignment horizontal="center"/>
    </xf>
    <xf numFmtId="0" fontId="6" fillId="0" borderId="0" xfId="0" applyFont="1" applyFill="1" applyAlignment="1">
      <alignment wrapText="1"/>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7" fillId="0" borderId="23" xfId="0" applyFont="1" applyFill="1" applyBorder="1" applyAlignment="1">
      <alignment horizontal="center"/>
    </xf>
    <xf numFmtId="0" fontId="17" fillId="0" borderId="19" xfId="0" applyFont="1" applyFill="1" applyBorder="1" applyAlignment="1">
      <alignment horizontal="center"/>
    </xf>
    <xf numFmtId="0" fontId="2" fillId="0" borderId="0" xfId="0" applyFont="1" applyFill="1" applyAlignment="1">
      <alignment horizontal="right" vertical="center" wrapText="1"/>
    </xf>
    <xf numFmtId="0" fontId="0" fillId="0" borderId="0" xfId="0" applyAlignment="1">
      <alignment horizontal="right" vertical="center" wrapText="1"/>
    </xf>
    <xf numFmtId="0" fontId="9" fillId="0" borderId="0" xfId="0" applyFont="1" applyFill="1" applyAlignment="1">
      <alignment horizontal="right"/>
    </xf>
    <xf numFmtId="0" fontId="18" fillId="0" borderId="29" xfId="0" applyFont="1" applyFill="1" applyBorder="1" applyAlignment="1">
      <alignment horizontal="center" vertical="center"/>
    </xf>
    <xf numFmtId="0" fontId="10" fillId="0" borderId="0" xfId="0" applyFont="1" applyFill="1" applyAlignment="1">
      <alignment horizontal="center"/>
    </xf>
    <xf numFmtId="0" fontId="10" fillId="0" borderId="0" xfId="0" applyFont="1" applyFill="1" applyAlignment="1">
      <alignment horizontal="center" wrapText="1"/>
    </xf>
    <xf numFmtId="0" fontId="10" fillId="0" borderId="0" xfId="0" applyFont="1" applyFill="1" applyAlignment="1">
      <alignment horizontal="center" vertical="top" wrapText="1"/>
    </xf>
    <xf numFmtId="0" fontId="2" fillId="0" borderId="28" xfId="0" applyFont="1" applyFill="1" applyBorder="1" applyAlignment="1">
      <alignment vertical="center"/>
    </xf>
    <xf numFmtId="0" fontId="2" fillId="0" borderId="2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9" xfId="0" applyFont="1" applyBorder="1" applyAlignment="1">
      <alignment horizontal="center" vertical="center" wrapText="1"/>
    </xf>
    <xf numFmtId="2" fontId="2" fillId="0" borderId="23" xfId="0" applyNumberFormat="1" applyFont="1" applyFill="1" applyBorder="1" applyAlignment="1">
      <alignment horizontal="center" vertical="center"/>
    </xf>
    <xf numFmtId="2" fontId="2" fillId="0" borderId="29" xfId="0" applyNumberFormat="1" applyFont="1" applyFill="1" applyBorder="1" applyAlignment="1">
      <alignment horizontal="center" vertical="center"/>
    </xf>
    <xf numFmtId="2" fontId="2" fillId="0" borderId="19" xfId="0" applyNumberFormat="1" applyFont="1" applyFill="1" applyBorder="1" applyAlignment="1">
      <alignment horizontal="center" vertical="center"/>
    </xf>
    <xf numFmtId="0" fontId="2" fillId="0" borderId="1" xfId="0" applyFont="1" applyFill="1" applyBorder="1" applyAlignment="1">
      <alignment horizontal="center" vertical="center"/>
    </xf>
    <xf numFmtId="4" fontId="3" fillId="0" borderId="1" xfId="0" applyNumberFormat="1" applyFont="1" applyFill="1" applyBorder="1" applyAlignment="1">
      <alignment horizontal="center" vertical="center"/>
    </xf>
    <xf numFmtId="0" fontId="11" fillId="0" borderId="0" xfId="0" applyFont="1" applyFill="1" applyAlignment="1">
      <alignment vertical="center"/>
    </xf>
    <xf numFmtId="0" fontId="2" fillId="0" borderId="0" xfId="0" applyFont="1" applyFill="1" applyAlignment="1">
      <alignment horizontal="center" vertical="center"/>
    </xf>
    <xf numFmtId="0" fontId="49" fillId="0" borderId="0" xfId="0" applyFont="1" applyFill="1" applyAlignment="1">
      <alignment vertical="center"/>
    </xf>
    <xf numFmtId="0" fontId="2" fillId="4" borderId="23"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19" xfId="0" applyFont="1" applyFill="1" applyBorder="1" applyAlignment="1">
      <alignment horizontal="center" vertical="center" wrapText="1"/>
    </xf>
    <xf numFmtId="167" fontId="2" fillId="0" borderId="1" xfId="0" applyNumberFormat="1" applyFont="1" applyFill="1" applyBorder="1" applyAlignment="1">
      <alignment horizontal="center" vertical="center"/>
    </xf>
    <xf numFmtId="0" fontId="2" fillId="0" borderId="0" xfId="0" applyFont="1" applyFill="1" applyAlignment="1">
      <alignment vertical="top"/>
    </xf>
    <xf numFmtId="4" fontId="2" fillId="0" borderId="1" xfId="0" applyNumberFormat="1" applyFont="1" applyFill="1" applyBorder="1" applyAlignment="1">
      <alignment horizontal="center" vertical="center"/>
    </xf>
    <xf numFmtId="167" fontId="2" fillId="0" borderId="23" xfId="0" applyNumberFormat="1" applyFont="1" applyFill="1" applyBorder="1" applyAlignment="1">
      <alignment horizontal="center" vertical="center"/>
    </xf>
    <xf numFmtId="167" fontId="2" fillId="0" borderId="29" xfId="0" applyNumberFormat="1" applyFont="1" applyFill="1" applyBorder="1" applyAlignment="1">
      <alignment horizontal="center" vertical="center"/>
    </xf>
    <xf numFmtId="167" fontId="2" fillId="0" borderId="19"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0" xfId="0" applyFont="1" applyFill="1" applyAlignment="1">
      <alignment horizontal="right" vertical="center" wrapText="1"/>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9"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42" fillId="0" borderId="23" xfId="0" applyFont="1" applyFill="1" applyBorder="1" applyAlignment="1">
      <alignment horizontal="center" vertical="center" wrapText="1"/>
    </xf>
    <xf numFmtId="0" fontId="42" fillId="0" borderId="29" xfId="0" applyFont="1" applyFill="1" applyBorder="1" applyAlignment="1">
      <alignment horizontal="center" vertical="center" wrapText="1"/>
    </xf>
    <xf numFmtId="0" fontId="0" fillId="0" borderId="19" xfId="0" applyFont="1" applyBorder="1" applyAlignment="1">
      <alignment vertical="center" wrapText="1"/>
    </xf>
    <xf numFmtId="0" fontId="10" fillId="3" borderId="0" xfId="0" applyFont="1" applyFill="1" applyAlignment="1">
      <alignment horizontal="center" wrapText="1"/>
    </xf>
    <xf numFmtId="0" fontId="18" fillId="3" borderId="1" xfId="0" applyFont="1" applyFill="1" applyBorder="1" applyAlignment="1">
      <alignment horizontal="center" vertical="top" wrapText="1"/>
    </xf>
    <xf numFmtId="0" fontId="18" fillId="3" borderId="2" xfId="0" applyFont="1" applyFill="1" applyBorder="1" applyAlignment="1">
      <alignment horizontal="center" vertical="top" wrapText="1"/>
    </xf>
    <xf numFmtId="0" fontId="18" fillId="3" borderId="14" xfId="0" applyFont="1" applyFill="1" applyBorder="1" applyAlignment="1">
      <alignment horizontal="center" vertical="top" wrapText="1"/>
    </xf>
    <xf numFmtId="0" fontId="18" fillId="3" borderId="20" xfId="0" applyFont="1" applyFill="1" applyBorder="1" applyAlignment="1">
      <alignment horizontal="center" vertical="top" wrapText="1"/>
    </xf>
    <xf numFmtId="0" fontId="18" fillId="3" borderId="23" xfId="0" applyFont="1" applyFill="1" applyBorder="1" applyAlignment="1">
      <alignment horizontal="center" vertical="top" wrapText="1"/>
    </xf>
    <xf numFmtId="0" fontId="18" fillId="3" borderId="19" xfId="0" applyFont="1" applyFill="1" applyBorder="1" applyAlignment="1">
      <alignment horizontal="center" vertical="top" wrapText="1"/>
    </xf>
    <xf numFmtId="0" fontId="18" fillId="3" borderId="7" xfId="0" applyFont="1" applyFill="1" applyBorder="1" applyAlignment="1">
      <alignment horizontal="center" vertical="top" wrapText="1"/>
    </xf>
    <xf numFmtId="0" fontId="18" fillId="3" borderId="21" xfId="0" applyFont="1" applyFill="1" applyBorder="1" applyAlignment="1">
      <alignment horizontal="center" vertical="top" wrapText="1"/>
    </xf>
    <xf numFmtId="0" fontId="18" fillId="3" borderId="34" xfId="0" applyFont="1" applyFill="1" applyBorder="1" applyAlignment="1">
      <alignment horizontal="center" vertical="top" wrapText="1"/>
    </xf>
    <xf numFmtId="0" fontId="17" fillId="0" borderId="26" xfId="0" applyFont="1" applyFill="1" applyBorder="1" applyAlignment="1">
      <alignment horizontal="center" vertical="top" wrapText="1"/>
    </xf>
    <xf numFmtId="0" fontId="17" fillId="0" borderId="16" xfId="0" applyFont="1" applyFill="1" applyBorder="1" applyAlignment="1">
      <alignment horizontal="center" vertical="top" wrapText="1"/>
    </xf>
    <xf numFmtId="0" fontId="5" fillId="3" borderId="0" xfId="0" applyFont="1" applyFill="1" applyAlignment="1">
      <alignment horizontal="left" vertical="top" wrapText="1"/>
    </xf>
    <xf numFmtId="0" fontId="18" fillId="3" borderId="0" xfId="0" applyFont="1" applyFill="1" applyBorder="1" applyAlignment="1">
      <alignment horizontal="left" vertical="top" wrapText="1"/>
    </xf>
    <xf numFmtId="0" fontId="17" fillId="0" borderId="26" xfId="0" applyFont="1" applyFill="1" applyBorder="1" applyAlignment="1">
      <alignment horizontal="left" vertical="top" wrapText="1"/>
    </xf>
    <xf numFmtId="0" fontId="17" fillId="0" borderId="16" xfId="0" applyFont="1" applyFill="1" applyBorder="1" applyAlignment="1">
      <alignment horizontal="left" vertical="top" wrapText="1"/>
    </xf>
    <xf numFmtId="0" fontId="10" fillId="0" borderId="1" xfId="0" applyFont="1" applyFill="1" applyBorder="1" applyAlignment="1">
      <alignment horizontal="left" vertical="top" wrapText="1"/>
    </xf>
    <xf numFmtId="0" fontId="18" fillId="3" borderId="29" xfId="0" applyFont="1" applyFill="1" applyBorder="1" applyAlignment="1">
      <alignment horizontal="center" vertical="top" wrapText="1"/>
    </xf>
    <xf numFmtId="1" fontId="2" fillId="2" borderId="23" xfId="0" applyNumberFormat="1" applyFont="1" applyFill="1" applyBorder="1" applyAlignment="1">
      <alignment horizontal="center" vertical="center"/>
    </xf>
    <xf numFmtId="1" fontId="2" fillId="2" borderId="19" xfId="0" applyNumberFormat="1" applyFont="1" applyFill="1" applyBorder="1" applyAlignment="1">
      <alignment horizontal="center" vertical="center"/>
    </xf>
    <xf numFmtId="1" fontId="6" fillId="2" borderId="1" xfId="0" applyNumberFormat="1" applyFont="1" applyFill="1" applyBorder="1" applyAlignment="1">
      <alignment horizontal="center" vertical="center"/>
    </xf>
    <xf numFmtId="0" fontId="11" fillId="0" borderId="0" xfId="0" applyFont="1" applyFill="1"/>
    <xf numFmtId="0" fontId="2" fillId="2" borderId="23" xfId="0" applyFont="1" applyFill="1" applyBorder="1" applyAlignment="1">
      <alignment horizontal="center" vertical="center"/>
    </xf>
    <xf numFmtId="0" fontId="2" fillId="2" borderId="19" xfId="0" applyFont="1" applyFill="1" applyBorder="1" applyAlignment="1">
      <alignment horizontal="center" vertical="center"/>
    </xf>
    <xf numFmtId="1" fontId="30" fillId="2" borderId="1" xfId="0" applyNumberFormat="1" applyFont="1" applyFill="1" applyBorder="1" applyAlignment="1">
      <alignment horizontal="center" vertical="center"/>
    </xf>
    <xf numFmtId="0" fontId="6" fillId="0" borderId="2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25" fillId="0" borderId="0" xfId="0" applyFont="1" applyFill="1" applyAlignment="1">
      <alignment horizontal="center" vertical="top" wrapText="1"/>
    </xf>
    <xf numFmtId="0" fontId="28" fillId="0" borderId="0" xfId="0" applyFont="1" applyFill="1"/>
    <xf numFmtId="0" fontId="2" fillId="0" borderId="0" xfId="0" applyFont="1" applyFill="1" applyAlignment="1">
      <alignment horizontal="center" vertical="center" wrapText="1"/>
    </xf>
    <xf numFmtId="0" fontId="0" fillId="0" borderId="0" xfId="0" applyAlignment="1">
      <alignment horizontal="center" vertical="center" wrapText="1"/>
    </xf>
    <xf numFmtId="0" fontId="2" fillId="0" borderId="0" xfId="0" applyFont="1" applyFill="1" applyBorder="1" applyAlignment="1">
      <alignment horizontal="justify" wrapText="1"/>
    </xf>
    <xf numFmtId="0" fontId="0" fillId="0" borderId="1" xfId="0" applyBorder="1" applyAlignment="1">
      <alignment horizontal="center" vertical="center" wrapText="1"/>
    </xf>
    <xf numFmtId="0" fontId="0" fillId="0" borderId="23" xfId="0" applyFill="1" applyBorder="1" applyAlignment="1">
      <alignment vertical="center" wrapText="1"/>
    </xf>
    <xf numFmtId="0" fontId="0" fillId="0" borderId="29" xfId="0" applyBorder="1" applyAlignment="1">
      <alignment vertical="center" wrapText="1"/>
    </xf>
    <xf numFmtId="0" fontId="0" fillId="0" borderId="19" xfId="0" applyBorder="1" applyAlignment="1">
      <alignment vertical="center" wrapText="1"/>
    </xf>
    <xf numFmtId="0" fontId="0" fillId="0" borderId="0" xfId="0" applyFill="1" applyAlignment="1">
      <alignment horizontal="center" vertical="top" wrapText="1"/>
    </xf>
    <xf numFmtId="0" fontId="29" fillId="0" borderId="0" xfId="0" applyFont="1" applyFill="1" applyAlignment="1">
      <alignment vertical="top" wrapText="1"/>
    </xf>
    <xf numFmtId="0" fontId="33" fillId="0" borderId="0" xfId="0" applyFont="1" applyFill="1" applyAlignment="1">
      <alignment horizontal="center"/>
    </xf>
    <xf numFmtId="0" fontId="36" fillId="0" borderId="0" xfId="0" applyFont="1" applyFill="1" applyAlignment="1"/>
    <xf numFmtId="0" fontId="33" fillId="0" borderId="0" xfId="0" applyFont="1" applyFill="1" applyAlignment="1">
      <alignment horizontal="center" wrapText="1"/>
    </xf>
    <xf numFmtId="0" fontId="36" fillId="0" borderId="0" xfId="0" applyFont="1" applyFill="1" applyAlignment="1">
      <alignment wrapText="1"/>
    </xf>
    <xf numFmtId="0" fontId="38" fillId="0" borderId="0" xfId="0" applyFont="1" applyFill="1" applyAlignment="1">
      <alignment horizontal="center" wrapText="1"/>
    </xf>
    <xf numFmtId="0" fontId="43" fillId="0" borderId="0" xfId="0" applyFont="1" applyFill="1" applyAlignment="1">
      <alignment horizontal="center"/>
    </xf>
    <xf numFmtId="0" fontId="38" fillId="0" borderId="2" xfId="0" applyFont="1" applyFill="1" applyBorder="1" applyAlignment="1">
      <alignment horizontal="center" vertical="center" wrapText="1"/>
    </xf>
    <xf numFmtId="0" fontId="43" fillId="0" borderId="3" xfId="0" applyFont="1" applyFill="1" applyBorder="1" applyAlignment="1">
      <alignment vertical="center" wrapText="1"/>
    </xf>
    <xf numFmtId="0" fontId="43" fillId="0" borderId="3" xfId="0" applyFont="1" applyFill="1" applyBorder="1" applyAlignment="1">
      <alignment vertical="center"/>
    </xf>
    <xf numFmtId="0" fontId="38" fillId="0" borderId="3" xfId="0" applyFont="1" applyFill="1" applyBorder="1" applyAlignment="1">
      <alignment horizontal="center" vertical="center" wrapText="1"/>
    </xf>
    <xf numFmtId="0" fontId="29" fillId="0" borderId="23"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0" fillId="0" borderId="29" xfId="0" applyFill="1" applyBorder="1" applyAlignment="1">
      <alignment horizontal="center" vertical="center"/>
    </xf>
    <xf numFmtId="0" fontId="0" fillId="0" borderId="19" xfId="0" applyFill="1" applyBorder="1" applyAlignment="1">
      <alignment horizontal="center" vertical="center"/>
    </xf>
    <xf numFmtId="0" fontId="57" fillId="0" borderId="23" xfId="0" applyFont="1" applyFill="1" applyBorder="1" applyAlignment="1">
      <alignment horizontal="left" vertical="top" wrapText="1"/>
    </xf>
    <xf numFmtId="0" fontId="57" fillId="0" borderId="29" xfId="0" applyFont="1" applyFill="1" applyBorder="1" applyAlignment="1">
      <alignment horizontal="left" vertical="top"/>
    </xf>
    <xf numFmtId="0" fontId="57" fillId="0" borderId="19" xfId="0" applyFont="1" applyFill="1" applyBorder="1" applyAlignment="1">
      <alignment horizontal="left" vertical="top"/>
    </xf>
    <xf numFmtId="0" fontId="31" fillId="0" borderId="23" xfId="0" applyFont="1" applyFill="1" applyBorder="1" applyAlignment="1">
      <alignment horizontal="center"/>
    </xf>
    <xf numFmtId="0" fontId="31" fillId="0" borderId="29" xfId="0" applyFont="1" applyFill="1" applyBorder="1" applyAlignment="1">
      <alignment horizontal="center"/>
    </xf>
    <xf numFmtId="0" fontId="31" fillId="0" borderId="19" xfId="0" applyFont="1" applyFill="1" applyBorder="1" applyAlignment="1">
      <alignment horizontal="center"/>
    </xf>
    <xf numFmtId="0" fontId="57" fillId="0" borderId="29" xfId="0" applyFont="1" applyFill="1" applyBorder="1" applyAlignment="1">
      <alignment horizontal="left" vertical="top" wrapText="1"/>
    </xf>
    <xf numFmtId="0" fontId="0" fillId="0" borderId="19" xfId="0" applyFill="1" applyBorder="1" applyAlignment="1">
      <alignment wrapText="1"/>
    </xf>
    <xf numFmtId="0" fontId="31" fillId="0" borderId="23" xfId="0" applyFont="1" applyFill="1" applyBorder="1" applyAlignment="1">
      <alignment horizontal="left" vertical="top" wrapText="1"/>
    </xf>
    <xf numFmtId="0" fontId="31" fillId="0" borderId="29" xfId="0" applyFont="1" applyFill="1" applyBorder="1" applyAlignment="1">
      <alignment horizontal="left" vertical="top" wrapText="1"/>
    </xf>
    <xf numFmtId="0" fontId="0" fillId="0" borderId="19" xfId="0" applyFill="1" applyBorder="1" applyAlignment="1">
      <alignment vertical="top" wrapText="1"/>
    </xf>
    <xf numFmtId="0" fontId="10" fillId="0" borderId="0" xfId="0" applyFont="1" applyFill="1" applyAlignment="1">
      <alignment horizontal="center" vertical="top"/>
    </xf>
    <xf numFmtId="0" fontId="2" fillId="0" borderId="0" xfId="0" applyFont="1" applyFill="1" applyAlignment="1">
      <alignment horizontal="center" wrapText="1"/>
    </xf>
    <xf numFmtId="0" fontId="18" fillId="0" borderId="0" xfId="0" applyFont="1" applyFill="1" applyAlignment="1">
      <alignment horizontal="center"/>
    </xf>
    <xf numFmtId="0" fontId="6" fillId="0" borderId="0" xfId="0" applyFont="1" applyFill="1" applyAlignment="1">
      <alignment horizontal="left" vertical="top" wrapText="1"/>
    </xf>
    <xf numFmtId="0" fontId="6" fillId="0" borderId="26" xfId="0" applyFont="1" applyFill="1" applyBorder="1" applyAlignment="1">
      <alignment horizontal="center"/>
    </xf>
    <xf numFmtId="0" fontId="6" fillId="0" borderId="18" xfId="0" applyFont="1" applyFill="1" applyBorder="1" applyAlignment="1">
      <alignment horizontal="center"/>
    </xf>
    <xf numFmtId="0" fontId="6" fillId="0" borderId="11" xfId="0" applyFont="1" applyFill="1" applyBorder="1" applyAlignment="1">
      <alignment horizontal="center" vertical="top"/>
    </xf>
    <xf numFmtId="0" fontId="6" fillId="0" borderId="8" xfId="0" applyFont="1" applyFill="1" applyBorder="1" applyAlignment="1">
      <alignment horizontal="center" vertical="top"/>
    </xf>
    <xf numFmtId="0" fontId="5" fillId="0" borderId="0" xfId="0" applyFont="1" applyFill="1" applyAlignment="1">
      <alignment horizontal="center"/>
    </xf>
    <xf numFmtId="0" fontId="18" fillId="0" borderId="0" xfId="0" applyFont="1" applyFill="1" applyAlignment="1">
      <alignment horizontal="left" vertical="top" wrapText="1"/>
    </xf>
    <xf numFmtId="0" fontId="6" fillId="0" borderId="10" xfId="0" applyFont="1" applyFill="1" applyBorder="1" applyAlignment="1">
      <alignment horizontal="center"/>
    </xf>
    <xf numFmtId="0" fontId="6" fillId="0" borderId="33" xfId="0" applyFont="1" applyFill="1" applyBorder="1" applyAlignment="1">
      <alignment horizontal="left" vertical="top" wrapText="1"/>
    </xf>
    <xf numFmtId="0" fontId="0" fillId="0" borderId="3" xfId="0" applyBorder="1" applyAlignment="1">
      <alignment horizontal="center" vertical="center" wrapText="1"/>
    </xf>
    <xf numFmtId="0" fontId="19" fillId="0" borderId="0" xfId="0" applyFont="1" applyFill="1" applyAlignment="1">
      <alignment horizontal="center" wrapText="1"/>
    </xf>
    <xf numFmtId="0" fontId="19" fillId="0" borderId="0" xfId="0" applyFont="1" applyFill="1" applyAlignment="1">
      <alignment horizontal="center"/>
    </xf>
    <xf numFmtId="0" fontId="0" fillId="0" borderId="3" xfId="0" applyBorder="1" applyAlignment="1">
      <alignment horizontal="center" vertical="top" wrapText="1"/>
    </xf>
    <xf numFmtId="2" fontId="18" fillId="0" borderId="23" xfId="0" applyNumberFormat="1" applyFont="1" applyFill="1" applyBorder="1" applyAlignment="1">
      <alignment horizontal="center"/>
    </xf>
    <xf numFmtId="2" fontId="18" fillId="0" borderId="19" xfId="0" applyNumberFormat="1" applyFont="1" applyFill="1" applyBorder="1" applyAlignment="1">
      <alignment horizontal="center"/>
    </xf>
    <xf numFmtId="4" fontId="17" fillId="0" borderId="23" xfId="0" applyNumberFormat="1" applyFont="1" applyFill="1" applyBorder="1" applyAlignment="1">
      <alignment horizontal="center"/>
    </xf>
    <xf numFmtId="4" fontId="17" fillId="0" borderId="19" xfId="0" applyNumberFormat="1" applyFont="1" applyFill="1" applyBorder="1" applyAlignment="1">
      <alignment horizontal="center"/>
    </xf>
    <xf numFmtId="0" fontId="18" fillId="0" borderId="7"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6" fillId="0" borderId="0" xfId="0" applyFont="1" applyFill="1" applyAlignment="1">
      <alignment horizontal="right"/>
    </xf>
    <xf numFmtId="0" fontId="6" fillId="0" borderId="0" xfId="0" applyFont="1" applyFill="1" applyAlignment="1">
      <alignment horizontal="right" wrapText="1"/>
    </xf>
    <xf numFmtId="0" fontId="3" fillId="0" borderId="1" xfId="0" applyFont="1" applyFill="1" applyBorder="1" applyAlignment="1">
      <alignment horizontal="center"/>
    </xf>
    <xf numFmtId="0" fontId="18" fillId="0" borderId="31" xfId="0" applyFont="1" applyFill="1" applyBorder="1" applyAlignment="1">
      <alignment horizontal="center"/>
    </xf>
    <xf numFmtId="0" fontId="18" fillId="0" borderId="22" xfId="0" applyFont="1" applyFill="1" applyBorder="1" applyAlignment="1">
      <alignment horizontal="center"/>
    </xf>
    <xf numFmtId="0" fontId="6"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xf>
    <xf numFmtId="0" fontId="0" fillId="0" borderId="1" xfId="0" applyBorder="1" applyAlignment="1">
      <alignment wrapText="1"/>
    </xf>
    <xf numFmtId="0" fontId="0" fillId="0" borderId="23" xfId="0" applyBorder="1" applyAlignment="1">
      <alignment horizontal="center" vertical="center" wrapText="1"/>
    </xf>
    <xf numFmtId="0" fontId="0" fillId="0" borderId="19" xfId="0" applyBorder="1" applyAlignment="1">
      <alignment horizontal="center" vertical="center" wrapText="1"/>
    </xf>
    <xf numFmtId="0" fontId="0" fillId="0" borderId="1" xfId="0" applyBorder="1"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 xfId="0" applyBorder="1" applyAlignment="1">
      <alignment horizontal="center" vertical="center" wrapText="1"/>
    </xf>
    <xf numFmtId="0" fontId="29" fillId="0" borderId="23" xfId="0" applyFont="1" applyBorder="1" applyAlignment="1">
      <alignment horizontal="center" vertical="center" wrapText="1"/>
    </xf>
    <xf numFmtId="0" fontId="0" fillId="0" borderId="29" xfId="0" applyBorder="1" applyAlignment="1">
      <alignment horizontal="center" vertical="center" wrapText="1"/>
    </xf>
    <xf numFmtId="0" fontId="29" fillId="0" borderId="2" xfId="0" applyFont="1" applyBorder="1" applyAlignment="1">
      <alignment horizontal="center" vertical="center"/>
    </xf>
    <xf numFmtId="0" fontId="0" fillId="0" borderId="14" xfId="0" applyFont="1" applyBorder="1" applyAlignment="1">
      <alignment horizontal="center" vertical="center"/>
    </xf>
    <xf numFmtId="0" fontId="0" fillId="0" borderId="3" xfId="0" applyBorder="1" applyAlignment="1"/>
    <xf numFmtId="0" fontId="29" fillId="0" borderId="1" xfId="0" applyFont="1" applyBorder="1" applyAlignment="1">
      <alignment horizontal="center" vertical="center"/>
    </xf>
    <xf numFmtId="0" fontId="0" fillId="0" borderId="1" xfId="0" applyFont="1" applyBorder="1" applyAlignment="1">
      <alignment horizontal="center" vertical="center"/>
    </xf>
    <xf numFmtId="0" fontId="0" fillId="0" borderId="34" xfId="0" applyBorder="1" applyAlignment="1">
      <alignment horizontal="center" vertical="center" wrapText="1"/>
    </xf>
    <xf numFmtId="0" fontId="2" fillId="0" borderId="23" xfId="0" applyFont="1" applyFill="1" applyBorder="1" applyAlignment="1">
      <alignment horizontal="center" vertical="center"/>
    </xf>
    <xf numFmtId="0" fontId="2" fillId="0" borderId="19" xfId="0" applyFont="1" applyFill="1" applyBorder="1" applyAlignment="1">
      <alignment horizontal="center" vertical="center"/>
    </xf>
    <xf numFmtId="0" fontId="25"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25" fillId="0" borderId="2" xfId="0" applyFont="1" applyFill="1" applyBorder="1" applyAlignment="1">
      <alignment horizontal="center" vertical="center" wrapText="1"/>
    </xf>
    <xf numFmtId="1" fontId="2" fillId="0" borderId="23" xfId="0" applyNumberFormat="1" applyFont="1" applyFill="1" applyBorder="1" applyAlignment="1">
      <alignment horizontal="center" vertical="center"/>
    </xf>
    <xf numFmtId="1" fontId="2" fillId="0" borderId="19" xfId="0" applyNumberFormat="1" applyFont="1" applyFill="1" applyBorder="1" applyAlignment="1">
      <alignment horizontal="center" vertical="center"/>
    </xf>
    <xf numFmtId="0" fontId="25" fillId="0" borderId="2"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3"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xf>
    <xf numFmtId="0" fontId="25" fillId="0" borderId="14" xfId="0" applyFont="1" applyFill="1" applyBorder="1" applyAlignment="1">
      <alignment horizontal="center" vertical="center" wrapText="1"/>
    </xf>
    <xf numFmtId="0" fontId="25" fillId="0" borderId="3" xfId="0" applyFont="1" applyFill="1" applyBorder="1" applyAlignment="1">
      <alignment horizontal="center" vertical="center" wrapText="1"/>
    </xf>
    <xf numFmtId="1" fontId="30" fillId="0" borderId="1" xfId="0" applyNumberFormat="1" applyFont="1" applyFill="1" applyBorder="1" applyAlignment="1">
      <alignment horizontal="center" vertical="center"/>
    </xf>
    <xf numFmtId="1" fontId="0" fillId="0" borderId="1" xfId="0" applyNumberFormat="1" applyFill="1" applyBorder="1" applyAlignment="1">
      <alignment horizontal="center"/>
    </xf>
    <xf numFmtId="1" fontId="0" fillId="0" borderId="1" xfId="0" applyNumberFormat="1" applyFill="1" applyBorder="1" applyAlignment="1">
      <alignment horizontal="center" vertical="center"/>
    </xf>
    <xf numFmtId="165" fontId="2" fillId="0" borderId="1"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65" fontId="0" fillId="0" borderId="1" xfId="0" applyNumberFormat="1" applyFill="1" applyBorder="1" applyAlignment="1">
      <alignment horizontal="center" vertical="center"/>
    </xf>
    <xf numFmtId="2" fontId="0" fillId="0" borderId="1" xfId="0" applyNumberFormat="1" applyFill="1" applyBorder="1" applyAlignment="1">
      <alignment horizontal="center" vertical="center"/>
    </xf>
    <xf numFmtId="2" fontId="6" fillId="0" borderId="1" xfId="0" applyNumberFormat="1" applyFont="1" applyFill="1" applyBorder="1" applyAlignment="1">
      <alignment horizontal="center" vertical="center" wrapText="1"/>
    </xf>
    <xf numFmtId="2" fontId="2" fillId="0" borderId="1" xfId="1" applyNumberFormat="1" applyFont="1" applyFill="1" applyBorder="1" applyAlignment="1">
      <alignment horizontal="center" vertical="center" wrapText="1"/>
    </xf>
    <xf numFmtId="166" fontId="18" fillId="0" borderId="1" xfId="0" applyNumberFormat="1" applyFont="1" applyFill="1" applyBorder="1" applyAlignment="1">
      <alignment horizontal="center" vertical="center" wrapText="1"/>
    </xf>
    <xf numFmtId="0" fontId="29" fillId="0" borderId="1" xfId="0" applyFont="1" applyFill="1" applyBorder="1" applyAlignment="1">
      <alignment horizontal="left" vertical="top" wrapText="1"/>
    </xf>
    <xf numFmtId="0" fontId="32"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4" fontId="38" fillId="0" borderId="1" xfId="0" applyNumberFormat="1" applyFont="1" applyFill="1" applyBorder="1" applyAlignment="1">
      <alignment horizontal="center" vertical="center" wrapText="1"/>
    </xf>
    <xf numFmtId="0" fontId="29" fillId="0" borderId="2" xfId="0" applyFont="1" applyFill="1" applyBorder="1" applyAlignment="1">
      <alignment horizontal="left" vertical="top" wrapText="1"/>
    </xf>
    <xf numFmtId="0" fontId="6" fillId="0" borderId="29" xfId="0" applyFont="1" applyFill="1" applyBorder="1" applyAlignment="1">
      <alignment horizontal="center"/>
    </xf>
    <xf numFmtId="0" fontId="6" fillId="0" borderId="19" xfId="0" applyFont="1" applyFill="1" applyBorder="1" applyAlignment="1">
      <alignment horizontal="center"/>
    </xf>
    <xf numFmtId="4" fontId="2" fillId="0" borderId="2" xfId="0" applyNumberFormat="1" applyFont="1" applyFill="1" applyBorder="1" applyAlignment="1">
      <alignment horizontal="center" vertical="center"/>
    </xf>
    <xf numFmtId="4" fontId="2" fillId="0" borderId="23" xfId="0" applyNumberFormat="1" applyFont="1" applyFill="1" applyBorder="1" applyAlignment="1">
      <alignment horizontal="center" vertical="center"/>
    </xf>
    <xf numFmtId="0" fontId="67" fillId="0" borderId="29" xfId="0" applyFont="1" applyFill="1" applyBorder="1" applyAlignment="1">
      <alignment horizontal="center" vertical="center"/>
    </xf>
    <xf numFmtId="0" fontId="67" fillId="0" borderId="19" xfId="0" applyFont="1" applyFill="1" applyBorder="1" applyAlignment="1">
      <alignment horizontal="center" vertical="center"/>
    </xf>
    <xf numFmtId="4" fontId="38" fillId="0" borderId="2"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xf>
    <xf numFmtId="0" fontId="41" fillId="0" borderId="2" xfId="0" applyFont="1" applyFill="1" applyBorder="1" applyAlignment="1">
      <alignment horizontal="center" vertical="top" wrapText="1"/>
    </xf>
    <xf numFmtId="0" fontId="41" fillId="0" borderId="14" xfId="0" applyFont="1" applyFill="1" applyBorder="1" applyAlignment="1">
      <alignment horizontal="center" vertical="top" wrapText="1"/>
    </xf>
    <xf numFmtId="0" fontId="41" fillId="0" borderId="3" xfId="0" applyFont="1" applyFill="1" applyBorder="1" applyAlignment="1">
      <alignment horizontal="center" vertical="top" wrapText="1"/>
    </xf>
    <xf numFmtId="0" fontId="2" fillId="0" borderId="19" xfId="0" applyFont="1" applyFill="1" applyBorder="1" applyAlignment="1">
      <alignment wrapText="1"/>
    </xf>
    <xf numFmtId="0" fontId="0" fillId="0" borderId="1"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1" xfId="0" applyFont="1" applyFill="1" applyBorder="1" applyAlignment="1">
      <alignment horizontal="center" vertical="center" wrapText="1"/>
    </xf>
    <xf numFmtId="0" fontId="6" fillId="0" borderId="18" xfId="0" applyFont="1" applyFill="1" applyBorder="1" applyAlignment="1">
      <alignment horizontal="center" vertical="center"/>
    </xf>
    <xf numFmtId="0" fontId="2" fillId="0" borderId="8" xfId="0" applyFont="1" applyFill="1" applyBorder="1" applyAlignment="1">
      <alignment horizontal="center" vertical="center" wrapText="1"/>
    </xf>
    <xf numFmtId="0" fontId="0" fillId="0" borderId="33" xfId="0" applyFill="1" applyBorder="1" applyAlignment="1">
      <alignment wrapText="1"/>
    </xf>
    <xf numFmtId="165" fontId="6" fillId="0" borderId="1" xfId="0" applyNumberFormat="1" applyFont="1" applyFill="1" applyBorder="1" applyAlignment="1">
      <alignment horizontal="center" vertical="center" wrapText="1"/>
    </xf>
    <xf numFmtId="0" fontId="0" fillId="0" borderId="3" xfId="0" applyFill="1" applyBorder="1" applyAlignment="1">
      <alignment horizontal="center" wrapText="1"/>
    </xf>
    <xf numFmtId="0" fontId="0" fillId="0" borderId="14" xfId="0" applyFill="1" applyBorder="1" applyAlignment="1">
      <alignment horizontal="center" wrapText="1"/>
    </xf>
    <xf numFmtId="167" fontId="18" fillId="0" borderId="1" xfId="0" applyNumberFormat="1" applyFont="1" applyFill="1" applyBorder="1" applyAlignment="1">
      <alignment horizontal="center" vertical="top" wrapText="1"/>
    </xf>
    <xf numFmtId="2" fontId="18" fillId="0" borderId="1" xfId="0" applyNumberFormat="1" applyFont="1" applyFill="1" applyBorder="1" applyAlignment="1">
      <alignment horizontal="center" vertical="center"/>
    </xf>
    <xf numFmtId="2" fontId="18" fillId="0" borderId="23" xfId="0" applyNumberFormat="1" applyFont="1" applyFill="1" applyBorder="1" applyAlignment="1">
      <alignment horizontal="center" vertical="center"/>
    </xf>
    <xf numFmtId="2" fontId="18" fillId="0" borderId="19" xfId="0" applyNumberFormat="1" applyFont="1" applyFill="1" applyBorder="1" applyAlignment="1">
      <alignment horizontal="center" vertical="center"/>
    </xf>
    <xf numFmtId="166" fontId="18" fillId="0" borderId="1" xfId="0" applyNumberFormat="1" applyFont="1" applyFill="1" applyBorder="1" applyAlignment="1">
      <alignment horizontal="center" vertical="center"/>
    </xf>
    <xf numFmtId="4" fontId="18" fillId="0" borderId="23" xfId="0" applyNumberFormat="1" applyFont="1" applyFill="1" applyBorder="1" applyAlignment="1">
      <alignment horizontal="center" vertical="center"/>
    </xf>
    <xf numFmtId="4" fontId="18" fillId="0" borderId="19" xfId="0" applyNumberFormat="1" applyFont="1" applyFill="1" applyBorder="1" applyAlignment="1">
      <alignment horizontal="center" vertical="center"/>
    </xf>
    <xf numFmtId="166" fontId="6" fillId="0" borderId="1" xfId="0" applyNumberFormat="1" applyFont="1" applyFill="1" applyBorder="1" applyAlignment="1">
      <alignment horizontal="justify" vertical="top" wrapText="1"/>
    </xf>
    <xf numFmtId="166" fontId="0" fillId="0" borderId="1" xfId="0" applyNumberFormat="1" applyFill="1" applyBorder="1" applyAlignment="1">
      <alignment horizontal="center" vertical="center"/>
    </xf>
    <xf numFmtId="2" fontId="29" fillId="0" borderId="1" xfId="0" applyNumberFormat="1" applyFont="1" applyFill="1" applyBorder="1" applyAlignment="1">
      <alignment horizontal="center" vertical="center"/>
    </xf>
    <xf numFmtId="0" fontId="29" fillId="0" borderId="23" xfId="0" applyFont="1" applyFill="1" applyBorder="1" applyAlignment="1">
      <alignment horizontal="center" vertical="center"/>
    </xf>
    <xf numFmtId="2" fontId="29" fillId="0" borderId="43" xfId="0" applyNumberFormat="1" applyFont="1" applyFill="1" applyBorder="1" applyAlignment="1">
      <alignment horizontal="center" vertical="center"/>
    </xf>
    <xf numFmtId="0" fontId="29" fillId="0" borderId="1" xfId="0" applyFont="1" applyFill="1" applyBorder="1" applyAlignment="1">
      <alignment horizontal="center" vertical="center"/>
    </xf>
    <xf numFmtId="0" fontId="29" fillId="0" borderId="43" xfId="0" applyFont="1" applyFill="1" applyBorder="1" applyAlignment="1">
      <alignment horizontal="center" vertical="center"/>
    </xf>
    <xf numFmtId="4" fontId="29" fillId="0" borderId="19" xfId="0" applyNumberFormat="1" applyFont="1" applyFill="1" applyBorder="1" applyAlignment="1">
      <alignment horizontal="center" vertical="center"/>
    </xf>
    <xf numFmtId="4" fontId="29" fillId="0" borderId="1" xfId="0" applyNumberFormat="1" applyFont="1" applyFill="1" applyBorder="1" applyAlignment="1">
      <alignment horizontal="center" vertical="center"/>
    </xf>
    <xf numFmtId="4" fontId="29" fillId="0" borderId="23" xfId="0" applyNumberFormat="1" applyFont="1" applyFill="1" applyBorder="1" applyAlignment="1">
      <alignment horizontal="center" vertical="center"/>
    </xf>
    <xf numFmtId="2" fontId="29" fillId="0" borderId="23" xfId="0" applyNumberFormat="1" applyFont="1" applyFill="1" applyBorder="1" applyAlignment="1">
      <alignment horizontal="center" vertical="center"/>
    </xf>
    <xf numFmtId="0" fontId="29" fillId="0" borderId="1" xfId="0" applyFont="1" applyFill="1" applyBorder="1"/>
    <xf numFmtId="4" fontId="29" fillId="0" borderId="43" xfId="0" applyNumberFormat="1" applyFont="1" applyFill="1" applyBorder="1" applyAlignment="1">
      <alignment horizontal="center" vertical="center"/>
    </xf>
    <xf numFmtId="4" fontId="29" fillId="0" borderId="0" xfId="0" applyNumberFormat="1" applyFont="1" applyFill="1" applyAlignment="1">
      <alignment horizontal="center" vertical="center"/>
    </xf>
    <xf numFmtId="0" fontId="0" fillId="0" borderId="2" xfId="0" applyFill="1" applyBorder="1"/>
    <xf numFmtId="0" fontId="29" fillId="0" borderId="1" xfId="0" applyFont="1" applyFill="1" applyBorder="1" applyAlignment="1">
      <alignment horizontal="right"/>
    </xf>
    <xf numFmtId="2" fontId="29" fillId="0" borderId="1" xfId="0" applyNumberFormat="1" applyFont="1" applyFill="1" applyBorder="1"/>
    <xf numFmtId="0" fontId="0" fillId="0" borderId="23" xfId="0" applyFill="1" applyBorder="1"/>
    <xf numFmtId="0" fontId="0" fillId="0" borderId="54" xfId="0" applyFill="1" applyBorder="1"/>
    <xf numFmtId="0" fontId="0" fillId="0" borderId="19" xfId="0" applyFill="1" applyBorder="1"/>
    <xf numFmtId="4" fontId="0" fillId="0" borderId="23" xfId="0" applyNumberFormat="1" applyFill="1" applyBorder="1" applyAlignment="1">
      <alignment horizontal="center" vertical="center"/>
    </xf>
    <xf numFmtId="4" fontId="0" fillId="0" borderId="54" xfId="0" applyNumberFormat="1" applyFill="1" applyBorder="1" applyAlignment="1">
      <alignment horizontal="center" vertical="center"/>
    </xf>
    <xf numFmtId="49" fontId="0" fillId="0" borderId="0" xfId="0" applyNumberFormat="1" applyFill="1"/>
    <xf numFmtId="0" fontId="48" fillId="0" borderId="23" xfId="0" applyFont="1" applyFill="1" applyBorder="1" applyAlignment="1">
      <alignment horizontal="center" vertical="center" wrapText="1"/>
    </xf>
    <xf numFmtId="0" fontId="48" fillId="0" borderId="19"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14</xdr:col>
      <xdr:colOff>258535</xdr:colOff>
      <xdr:row>5</xdr:row>
      <xdr:rowOff>1074965</xdr:rowOff>
    </xdr:from>
    <xdr:to>
      <xdr:col>14</xdr:col>
      <xdr:colOff>1469572</xdr:colOff>
      <xdr:row>5</xdr:row>
      <xdr:rowOff>1532165</xdr:rowOff>
    </xdr:to>
    <xdr:pic>
      <xdr:nvPicPr>
        <xdr:cNvPr id="2" name="Рисунок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82856" y="3415394"/>
          <a:ext cx="1211037"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86"/>
  <sheetViews>
    <sheetView tabSelected="1" topLeftCell="A54" zoomScale="50" zoomScaleNormal="50" workbookViewId="0">
      <pane xSplit="1" topLeftCell="B1" activePane="topRight" state="frozen"/>
      <selection activeCell="A2" sqref="A2"/>
      <selection pane="topRight" activeCell="W76" sqref="W76"/>
    </sheetView>
  </sheetViews>
  <sheetFormatPr defaultColWidth="8.85546875" defaultRowHeight="12.75" x14ac:dyDescent="0.2"/>
  <cols>
    <col min="1" max="1" width="42.85546875" style="174" customWidth="1"/>
    <col min="2" max="2" width="12.5703125" style="174" customWidth="1"/>
    <col min="3" max="3" width="14.7109375" style="174" customWidth="1"/>
    <col min="4" max="4" width="19" style="174" customWidth="1"/>
    <col min="5" max="8" width="18.28515625" style="174" customWidth="1"/>
    <col min="9" max="9" width="21.5703125" style="174" customWidth="1"/>
    <col min="10" max="10" width="18.28515625" style="174" customWidth="1"/>
    <col min="11" max="11" width="21.5703125" style="174" customWidth="1"/>
    <col min="12" max="17" width="18.28515625" style="174" customWidth="1"/>
    <col min="18" max="21" width="16.5703125" style="174" customWidth="1"/>
    <col min="22" max="22" width="19.42578125" style="174" customWidth="1"/>
    <col min="23" max="23" width="18.7109375" style="174" customWidth="1"/>
    <col min="24" max="63" width="16.5703125" style="174" customWidth="1"/>
    <col min="64" max="64" width="51" style="174" customWidth="1"/>
    <col min="65" max="65" width="9.85546875" style="220" bestFit="1" customWidth="1"/>
    <col min="66" max="16384" width="8.85546875" style="174"/>
  </cols>
  <sheetData>
    <row r="1" spans="1:65" ht="20.25" hidden="1" customHeight="1" x14ac:dyDescent="0.2"/>
    <row r="2" spans="1:65" ht="36" customHeight="1" x14ac:dyDescent="0.2">
      <c r="A2" s="633" t="s">
        <v>382</v>
      </c>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c r="AU2" s="633"/>
      <c r="AV2" s="633"/>
      <c r="AW2" s="633"/>
      <c r="AX2" s="633"/>
      <c r="AY2" s="633"/>
      <c r="AZ2" s="633"/>
      <c r="BA2" s="633"/>
      <c r="BB2" s="633"/>
      <c r="BC2" s="633"/>
      <c r="BD2" s="633"/>
      <c r="BE2" s="633"/>
      <c r="BF2" s="633"/>
      <c r="BG2" s="633"/>
      <c r="BH2" s="633"/>
      <c r="BI2" s="633"/>
      <c r="BJ2" s="633"/>
      <c r="BK2" s="633"/>
      <c r="BL2" s="633"/>
    </row>
    <row r="3" spans="1:65" ht="22.7" customHeight="1" x14ac:dyDescent="0.3">
      <c r="A3" s="634" t="s">
        <v>459</v>
      </c>
      <c r="B3" s="634"/>
      <c r="C3" s="634"/>
      <c r="D3" s="634"/>
      <c r="E3" s="634"/>
      <c r="F3" s="634"/>
      <c r="G3" s="634"/>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634"/>
      <c r="AJ3" s="634"/>
      <c r="AK3" s="634"/>
      <c r="AL3" s="634"/>
      <c r="AM3" s="634"/>
      <c r="AN3" s="634"/>
      <c r="AO3" s="634"/>
      <c r="AP3" s="634"/>
      <c r="AQ3" s="634"/>
      <c r="AR3" s="634"/>
      <c r="AS3" s="634"/>
      <c r="AT3" s="634"/>
      <c r="AU3" s="634"/>
      <c r="AV3" s="634"/>
      <c r="AW3" s="634"/>
      <c r="AX3" s="634"/>
      <c r="AY3" s="634"/>
      <c r="AZ3" s="634"/>
      <c r="BA3" s="634"/>
      <c r="BB3" s="634"/>
      <c r="BC3" s="634"/>
      <c r="BD3" s="634"/>
      <c r="BE3" s="634"/>
      <c r="BF3" s="634"/>
      <c r="BG3" s="634"/>
      <c r="BH3" s="634"/>
      <c r="BI3" s="634"/>
      <c r="BJ3" s="634"/>
      <c r="BK3" s="634"/>
      <c r="BL3" s="634"/>
    </row>
    <row r="4" spans="1:65" ht="26.65" customHeight="1" x14ac:dyDescent="0.2">
      <c r="A4" s="635" t="s">
        <v>0</v>
      </c>
      <c r="B4" s="636" t="s">
        <v>1</v>
      </c>
      <c r="C4" s="636" t="s">
        <v>2</v>
      </c>
      <c r="D4" s="613" t="s">
        <v>365</v>
      </c>
      <c r="E4" s="639"/>
      <c r="F4" s="639"/>
      <c r="G4" s="639"/>
      <c r="H4" s="639"/>
      <c r="I4" s="639"/>
      <c r="J4" s="639"/>
      <c r="K4" s="639"/>
      <c r="L4" s="639"/>
      <c r="M4" s="639"/>
      <c r="N4" s="639"/>
      <c r="O4" s="639"/>
      <c r="P4" s="639"/>
      <c r="Q4" s="639"/>
      <c r="R4" s="639"/>
      <c r="S4" s="639"/>
      <c r="T4" s="639"/>
      <c r="U4" s="639"/>
      <c r="V4" s="639"/>
      <c r="W4" s="639"/>
      <c r="X4" s="381"/>
      <c r="Y4" s="381"/>
      <c r="Z4" s="381"/>
      <c r="AA4" s="381"/>
      <c r="AB4" s="381"/>
      <c r="AC4" s="381"/>
      <c r="AD4" s="381"/>
      <c r="AE4" s="381"/>
      <c r="AF4" s="381"/>
      <c r="AG4" s="381"/>
      <c r="AH4" s="381"/>
      <c r="AI4" s="381"/>
      <c r="AJ4" s="381"/>
      <c r="AK4" s="381"/>
      <c r="AL4" s="381"/>
      <c r="AM4" s="381"/>
      <c r="AN4" s="381"/>
      <c r="AO4" s="381"/>
      <c r="AP4" s="381"/>
      <c r="AQ4" s="381"/>
      <c r="AR4" s="381"/>
      <c r="AS4" s="381"/>
      <c r="AT4" s="381"/>
      <c r="AU4" s="381"/>
      <c r="AV4" s="381"/>
      <c r="AW4" s="381"/>
      <c r="AX4" s="381"/>
      <c r="AY4" s="381"/>
      <c r="AZ4" s="381"/>
      <c r="BA4" s="381"/>
      <c r="BB4" s="381"/>
      <c r="BC4" s="381"/>
      <c r="BD4" s="381"/>
      <c r="BE4" s="381"/>
      <c r="BF4" s="382"/>
      <c r="BG4" s="382"/>
      <c r="BH4" s="382"/>
      <c r="BI4" s="382"/>
      <c r="BJ4" s="382"/>
      <c r="BK4" s="382"/>
      <c r="BL4" s="640" t="s">
        <v>4</v>
      </c>
    </row>
    <row r="5" spans="1:65" ht="93.75" customHeight="1" x14ac:dyDescent="0.2">
      <c r="A5" s="636"/>
      <c r="B5" s="637"/>
      <c r="C5" s="637"/>
      <c r="D5" s="621" t="s">
        <v>268</v>
      </c>
      <c r="E5" s="622"/>
      <c r="F5" s="613" t="s">
        <v>292</v>
      </c>
      <c r="G5" s="614"/>
      <c r="H5" s="621" t="s">
        <v>291</v>
      </c>
      <c r="I5" s="622"/>
      <c r="J5" s="621" t="s">
        <v>271</v>
      </c>
      <c r="K5" s="622"/>
      <c r="L5" s="639" t="s">
        <v>320</v>
      </c>
      <c r="M5" s="614"/>
      <c r="N5" s="621" t="s">
        <v>293</v>
      </c>
      <c r="O5" s="622"/>
      <c r="P5" s="612" t="s">
        <v>294</v>
      </c>
      <c r="Q5" s="612"/>
      <c r="R5" s="621" t="s">
        <v>295</v>
      </c>
      <c r="S5" s="622"/>
      <c r="T5" s="621" t="s">
        <v>290</v>
      </c>
      <c r="U5" s="622"/>
      <c r="V5" s="621" t="s">
        <v>296</v>
      </c>
      <c r="W5" s="622"/>
      <c r="X5" s="613" t="s">
        <v>424</v>
      </c>
      <c r="Y5" s="615"/>
      <c r="Z5" s="613" t="s">
        <v>297</v>
      </c>
      <c r="AA5" s="615"/>
      <c r="AB5" s="613" t="s">
        <v>283</v>
      </c>
      <c r="AC5" s="615"/>
      <c r="AD5" s="613" t="s">
        <v>298</v>
      </c>
      <c r="AE5" s="615"/>
      <c r="AF5" s="613" t="s">
        <v>281</v>
      </c>
      <c r="AG5" s="615"/>
      <c r="AH5" s="613" t="s">
        <v>299</v>
      </c>
      <c r="AI5" s="615"/>
      <c r="AJ5" s="613" t="s">
        <v>269</v>
      </c>
      <c r="AK5" s="615"/>
      <c r="AL5" s="613" t="s">
        <v>425</v>
      </c>
      <c r="AM5" s="615"/>
      <c r="AN5" s="613" t="s">
        <v>300</v>
      </c>
      <c r="AO5" s="615"/>
      <c r="AP5" s="613" t="s">
        <v>270</v>
      </c>
      <c r="AQ5" s="615"/>
      <c r="AR5" s="613" t="s">
        <v>274</v>
      </c>
      <c r="AS5" s="614"/>
      <c r="AT5" s="613" t="s">
        <v>301</v>
      </c>
      <c r="AU5" s="614"/>
      <c r="AV5" s="613" t="s">
        <v>275</v>
      </c>
      <c r="AW5" s="614"/>
      <c r="AX5" s="613" t="s">
        <v>276</v>
      </c>
      <c r="AY5" s="614"/>
      <c r="AZ5" s="613" t="s">
        <v>277</v>
      </c>
      <c r="BA5" s="614"/>
      <c r="BB5" s="613" t="s">
        <v>278</v>
      </c>
      <c r="BC5" s="614"/>
      <c r="BD5" s="613" t="s">
        <v>279</v>
      </c>
      <c r="BE5" s="614"/>
      <c r="BF5" s="613" t="s">
        <v>280</v>
      </c>
      <c r="BG5" s="614"/>
      <c r="BH5" s="612" t="s">
        <v>272</v>
      </c>
      <c r="BI5" s="612"/>
      <c r="BJ5" s="612" t="s">
        <v>273</v>
      </c>
      <c r="BK5" s="612"/>
      <c r="BL5" s="641"/>
    </row>
    <row r="6" spans="1:65" ht="21.75" customHeight="1" thickBot="1" x14ac:dyDescent="0.25">
      <c r="A6" s="383"/>
      <c r="B6" s="638"/>
      <c r="C6" s="638"/>
      <c r="D6" s="330" t="s">
        <v>12</v>
      </c>
      <c r="E6" s="384" t="s">
        <v>13</v>
      </c>
      <c r="F6" s="330" t="s">
        <v>12</v>
      </c>
      <c r="G6" s="384" t="s">
        <v>13</v>
      </c>
      <c r="H6" s="330" t="s">
        <v>12</v>
      </c>
      <c r="I6" s="384" t="s">
        <v>13</v>
      </c>
      <c r="J6" s="330" t="s">
        <v>12</v>
      </c>
      <c r="K6" s="384" t="s">
        <v>13</v>
      </c>
      <c r="L6" s="330" t="s">
        <v>12</v>
      </c>
      <c r="M6" s="384" t="s">
        <v>13</v>
      </c>
      <c r="N6" s="330" t="s">
        <v>12</v>
      </c>
      <c r="O6" s="384" t="s">
        <v>13</v>
      </c>
      <c r="P6" s="330" t="s">
        <v>12</v>
      </c>
      <c r="Q6" s="384" t="s">
        <v>13</v>
      </c>
      <c r="R6" s="330" t="s">
        <v>12</v>
      </c>
      <c r="S6" s="384" t="s">
        <v>13</v>
      </c>
      <c r="T6" s="330" t="s">
        <v>12</v>
      </c>
      <c r="U6" s="384" t="s">
        <v>13</v>
      </c>
      <c r="V6" s="330" t="s">
        <v>12</v>
      </c>
      <c r="W6" s="384" t="s">
        <v>13</v>
      </c>
      <c r="X6" s="330" t="s">
        <v>12</v>
      </c>
      <c r="Y6" s="384" t="s">
        <v>13</v>
      </c>
      <c r="Z6" s="330" t="s">
        <v>12</v>
      </c>
      <c r="AA6" s="384" t="s">
        <v>13</v>
      </c>
      <c r="AB6" s="330" t="s">
        <v>12</v>
      </c>
      <c r="AC6" s="384" t="s">
        <v>13</v>
      </c>
      <c r="AD6" s="330" t="s">
        <v>12</v>
      </c>
      <c r="AE6" s="384" t="s">
        <v>13</v>
      </c>
      <c r="AF6" s="330" t="s">
        <v>12</v>
      </c>
      <c r="AG6" s="384" t="s">
        <v>13</v>
      </c>
      <c r="AH6" s="330" t="s">
        <v>12</v>
      </c>
      <c r="AI6" s="384" t="s">
        <v>13</v>
      </c>
      <c r="AJ6" s="330" t="s">
        <v>12</v>
      </c>
      <c r="AK6" s="384" t="s">
        <v>13</v>
      </c>
      <c r="AL6" s="330" t="s">
        <v>12</v>
      </c>
      <c r="AM6" s="384" t="s">
        <v>13</v>
      </c>
      <c r="AN6" s="330" t="s">
        <v>12</v>
      </c>
      <c r="AO6" s="384" t="s">
        <v>13</v>
      </c>
      <c r="AP6" s="330" t="s">
        <v>12</v>
      </c>
      <c r="AQ6" s="384" t="s">
        <v>13</v>
      </c>
      <c r="AR6" s="330" t="s">
        <v>12</v>
      </c>
      <c r="AS6" s="384" t="s">
        <v>13</v>
      </c>
      <c r="AT6" s="330" t="s">
        <v>12</v>
      </c>
      <c r="AU6" s="384" t="s">
        <v>13</v>
      </c>
      <c r="AV6" s="330" t="s">
        <v>12</v>
      </c>
      <c r="AW6" s="384" t="s">
        <v>13</v>
      </c>
      <c r="AX6" s="330" t="s">
        <v>12</v>
      </c>
      <c r="AY6" s="384" t="s">
        <v>13</v>
      </c>
      <c r="AZ6" s="330" t="s">
        <v>12</v>
      </c>
      <c r="BA6" s="384" t="s">
        <v>13</v>
      </c>
      <c r="BB6" s="330" t="s">
        <v>12</v>
      </c>
      <c r="BC6" s="384" t="s">
        <v>13</v>
      </c>
      <c r="BD6" s="330" t="s">
        <v>12</v>
      </c>
      <c r="BE6" s="384" t="s">
        <v>13</v>
      </c>
      <c r="BF6" s="330" t="s">
        <v>12</v>
      </c>
      <c r="BG6" s="384" t="s">
        <v>13</v>
      </c>
      <c r="BH6" s="330" t="s">
        <v>12</v>
      </c>
      <c r="BI6" s="384" t="s">
        <v>13</v>
      </c>
      <c r="BJ6" s="330" t="s">
        <v>12</v>
      </c>
      <c r="BK6" s="384" t="s">
        <v>13</v>
      </c>
      <c r="BL6" s="385"/>
    </row>
    <row r="7" spans="1:65" ht="39.75" customHeight="1" thickBot="1" x14ac:dyDescent="0.3">
      <c r="A7" s="624" t="s">
        <v>42</v>
      </c>
      <c r="B7" s="625"/>
      <c r="C7" s="386">
        <v>25</v>
      </c>
      <c r="D7" s="376"/>
      <c r="E7" s="374">
        <f>C7*(E8+E9+E11+E10)*1.05</f>
        <v>17.14453125</v>
      </c>
      <c r="F7" s="376"/>
      <c r="G7" s="374">
        <f>C7*(G9+G11+G10+G8)</f>
        <v>14.374999999999998</v>
      </c>
      <c r="H7" s="376"/>
      <c r="I7" s="374">
        <f>C7*(I9+I11+I10+I8)*1.05</f>
        <v>18.005859375</v>
      </c>
      <c r="J7" s="376"/>
      <c r="K7" s="374">
        <f>C7*(K9+K11+K10+K8)*1.05</f>
        <v>16.2421875</v>
      </c>
      <c r="L7" s="374"/>
      <c r="M7" s="374">
        <f>C7*(M8+M9+M10+M11)</f>
        <v>21.875</v>
      </c>
      <c r="N7" s="376"/>
      <c r="O7" s="374">
        <f>C7*(O9+O11+O10+O8)</f>
        <v>22.879718749999999</v>
      </c>
      <c r="P7" s="374"/>
      <c r="Q7" s="374">
        <f>C7*(Q8+Q9+Q10+Q11)</f>
        <v>23.192181249999997</v>
      </c>
      <c r="R7" s="376"/>
      <c r="S7" s="374">
        <f>C7*(S9+S11+S10+S8)</f>
        <v>22.098562500000003</v>
      </c>
      <c r="T7" s="376"/>
      <c r="U7" s="374">
        <f>C7*(U9+U11+U10+U8)</f>
        <v>23.660875000000001</v>
      </c>
      <c r="V7" s="376"/>
      <c r="W7" s="374">
        <f>C7*(W9+W11+W10+W8)</f>
        <v>22.098562500000003</v>
      </c>
      <c r="X7" s="331"/>
      <c r="Y7" s="374">
        <f>31.25*(Y9+Y11+Y10+Y8)</f>
        <v>21.09375</v>
      </c>
      <c r="Z7" s="331"/>
      <c r="AA7" s="374">
        <f>C7*(AA9+AA11+AA10+AA8)*1.05</f>
        <v>16.5703125</v>
      </c>
      <c r="AB7" s="331"/>
      <c r="AC7" s="374">
        <f>C7*(AC9+AC11+AC10+AC8)</f>
        <v>15.78125</v>
      </c>
      <c r="AD7" s="331"/>
      <c r="AE7" s="374">
        <f>C7*(AE9+AE11+AE10+AE8)*1.05</f>
        <v>16.5703125</v>
      </c>
      <c r="AF7" s="331"/>
      <c r="AG7" s="374">
        <f>C7*(AG9+AG11+AG10+AG8)</f>
        <v>15.78125</v>
      </c>
      <c r="AH7" s="331"/>
      <c r="AI7" s="374">
        <f>C7*(AI9+AI11+AI10+AI8)</f>
        <v>15.78125</v>
      </c>
      <c r="AJ7" s="331"/>
      <c r="AK7" s="374">
        <f>C7*(AK9+AK11+AK10+AK8)*1.05</f>
        <v>17.374218750000001</v>
      </c>
      <c r="AL7" s="331"/>
      <c r="AM7" s="374">
        <f>31.25*(AM9+AM11+AM10+AM8)</f>
        <v>20.68359375</v>
      </c>
      <c r="AN7" s="331"/>
      <c r="AO7" s="374">
        <f>C7*(AO9+AO11+AO10+AO8)</f>
        <v>13.28125</v>
      </c>
      <c r="AP7" s="331"/>
      <c r="AQ7" s="374">
        <f>31.25*(AQ9+AQ11+AQ10+AQ8)</f>
        <v>21.09375</v>
      </c>
      <c r="AR7" s="331"/>
      <c r="AS7" s="374">
        <f>31.25*(AS9+AS11+AS10+AS8)</f>
        <v>18.5546875</v>
      </c>
      <c r="AT7" s="331"/>
      <c r="AU7" s="374">
        <f>31.25*(AU9+AU11+AU10+AU8)</f>
        <v>14.84375</v>
      </c>
      <c r="AV7" s="331"/>
      <c r="AW7" s="374">
        <f>C7*(AW9+AW11+AW10+AW8)*1.05</f>
        <v>17.14453125</v>
      </c>
      <c r="AX7" s="331"/>
      <c r="AY7" s="374">
        <f>C7*(AY9+AY11+AY10+AY8)</f>
        <v>16.875</v>
      </c>
      <c r="AZ7" s="331"/>
      <c r="BA7" s="374">
        <f>C7*(BA9+BA11+BA10+BA8)</f>
        <v>16.875</v>
      </c>
      <c r="BB7" s="331"/>
      <c r="BC7" s="374">
        <f>C7*(BC9+BC11+BC10+BC8)</f>
        <v>16.875</v>
      </c>
      <c r="BD7" s="331"/>
      <c r="BE7" s="374">
        <f>C7*(BE9+BE11+BE10+BE8)</f>
        <v>16.875</v>
      </c>
      <c r="BF7" s="331"/>
      <c r="BG7" s="374">
        <f>C7*(BG9+BG11+BG10+BG8)</f>
        <v>16.875</v>
      </c>
      <c r="BH7" s="331"/>
      <c r="BI7" s="374">
        <f>C7*(BI9+BI11+BI10+BI8)</f>
        <v>15.78125</v>
      </c>
      <c r="BJ7" s="331"/>
      <c r="BK7" s="374">
        <f>C7*(BK9+BK11+BK10+BK8)</f>
        <v>10.78125</v>
      </c>
      <c r="BL7" s="387"/>
      <c r="BM7" s="543">
        <f>(E7+I7+O7+K7+G7+W7+U7+S7+Q7+M7)/10</f>
        <v>20.1572478125</v>
      </c>
    </row>
    <row r="8" spans="1:65" ht="151.5" customHeight="1" x14ac:dyDescent="0.25">
      <c r="A8" s="544" t="s">
        <v>133</v>
      </c>
      <c r="B8" s="361" t="s">
        <v>258</v>
      </c>
      <c r="C8" s="388">
        <v>25</v>
      </c>
      <c r="D8" s="545">
        <f>'приложение 13'!E17/100</f>
        <v>0.8125</v>
      </c>
      <c r="E8" s="545">
        <f>C8*D8/100</f>
        <v>0.203125</v>
      </c>
      <c r="F8" s="545">
        <f>'приложение 13'!G17/100</f>
        <v>0.9</v>
      </c>
      <c r="G8" s="545">
        <f>C8*F8/100</f>
        <v>0.22500000000000001</v>
      </c>
      <c r="H8" s="545">
        <f>'приложение 13'!I17/100</f>
        <v>0.94374999999999998</v>
      </c>
      <c r="I8" s="545">
        <f>C8*H8/100</f>
        <v>0.23593749999999999</v>
      </c>
      <c r="J8" s="545">
        <f>'приложение 13'!K17/100</f>
        <v>0.67500000000000004</v>
      </c>
      <c r="K8" s="545">
        <f>C8*J8/100</f>
        <v>0.16875000000000001</v>
      </c>
      <c r="L8" s="545">
        <f>'приложение 13'!M17/100</f>
        <v>0.75</v>
      </c>
      <c r="M8" s="545">
        <f>50*L8/100</f>
        <v>0.375</v>
      </c>
      <c r="N8" s="545">
        <f>'приложение 13'!O17/100</f>
        <v>0.76249999999999984</v>
      </c>
      <c r="O8" s="545">
        <f>35.71*N8/100</f>
        <v>0.27228874999999997</v>
      </c>
      <c r="P8" s="545">
        <f>'приложение 13'!Q17/100</f>
        <v>0.79749999999999999</v>
      </c>
      <c r="Q8" s="545">
        <f>35.71*P8/100</f>
        <v>0.28478724999999999</v>
      </c>
      <c r="R8" s="545">
        <f>'приложение 13'!S17/100</f>
        <v>0.67500000000000004</v>
      </c>
      <c r="S8" s="545">
        <f>35.71*R8/100</f>
        <v>0.24104249999999999</v>
      </c>
      <c r="T8" s="545">
        <f>'приложение 13'!U17/100</f>
        <v>0.85</v>
      </c>
      <c r="U8" s="545">
        <f>35.71*T8/100</f>
        <v>0.303535</v>
      </c>
      <c r="V8" s="545">
        <f>'приложение 13'!W17/100</f>
        <v>0.67500000000000004</v>
      </c>
      <c r="W8" s="545">
        <f>35.71*V8/100</f>
        <v>0.24104249999999999</v>
      </c>
      <c r="X8" s="545">
        <f>'приложение 13'!Y17/100</f>
        <v>0.9</v>
      </c>
      <c r="Y8" s="545">
        <f>C8*X8/100</f>
        <v>0.22500000000000001</v>
      </c>
      <c r="Z8" s="545">
        <f>'приложение 13'!AA17/100</f>
        <v>0.72499999999999987</v>
      </c>
      <c r="AA8" s="545">
        <f>C8*Z8/100</f>
        <v>0.18124999999999997</v>
      </c>
      <c r="AB8" s="545">
        <f>'приложение 13'!AC17/100</f>
        <v>0.72499999999999987</v>
      </c>
      <c r="AC8" s="545">
        <f>C8*AB8/100</f>
        <v>0.18124999999999997</v>
      </c>
      <c r="AD8" s="545">
        <f>'приложение 13'!AE17/100</f>
        <v>0.72499999999999987</v>
      </c>
      <c r="AE8" s="545">
        <f>C8*AD8/100</f>
        <v>0.18124999999999997</v>
      </c>
      <c r="AF8" s="545">
        <f>'приложение 13'!AG17/100</f>
        <v>0.72499999999999987</v>
      </c>
      <c r="AG8" s="545">
        <f>C8*AF8/100</f>
        <v>0.18124999999999997</v>
      </c>
      <c r="AH8" s="545">
        <f>'приложение 13'!AI17/100</f>
        <v>0.72499999999999987</v>
      </c>
      <c r="AI8" s="545">
        <f>C8*AH8/100</f>
        <v>0.18124999999999997</v>
      </c>
      <c r="AJ8" s="545">
        <f>'приложение 13'!AK17/100</f>
        <v>0.84750000000000003</v>
      </c>
      <c r="AK8" s="545">
        <f>C8*AJ8/100</f>
        <v>0.21187500000000001</v>
      </c>
      <c r="AL8" s="545">
        <f>'приложение 13'!AM17/100</f>
        <v>0.84750000000000003</v>
      </c>
      <c r="AM8" s="545">
        <f>C8*AL8/100</f>
        <v>0.21187500000000001</v>
      </c>
      <c r="AN8" s="545">
        <f>'приложение 13'!AO17/100</f>
        <v>0.72499999999999987</v>
      </c>
      <c r="AO8" s="545">
        <f>C8*AN8/100</f>
        <v>0.18124999999999997</v>
      </c>
      <c r="AP8" s="545">
        <f>'приложение 13'!AQ17/100</f>
        <v>0.9</v>
      </c>
      <c r="AQ8" s="545">
        <f>C8*AP8/100</f>
        <v>0.22500000000000001</v>
      </c>
      <c r="AR8" s="545">
        <f>'приложение 13'!AS17/100</f>
        <v>0.9</v>
      </c>
      <c r="AS8" s="545">
        <f>31.25*AR8/100</f>
        <v>0.28125</v>
      </c>
      <c r="AT8" s="545">
        <f>'приложение 13'!AU17/100</f>
        <v>0.9</v>
      </c>
      <c r="AU8" s="545">
        <f>C8*AT8/100</f>
        <v>0.22500000000000001</v>
      </c>
      <c r="AV8" s="545">
        <f>'приложение 13'!AW17/100</f>
        <v>0.8125</v>
      </c>
      <c r="AW8" s="545">
        <f>C8*AV8/100</f>
        <v>0.203125</v>
      </c>
      <c r="AX8" s="545">
        <f>'приложение 13'!AY17/100</f>
        <v>0.9</v>
      </c>
      <c r="AY8" s="545">
        <f>C8*AX8/100</f>
        <v>0.22500000000000001</v>
      </c>
      <c r="AZ8" s="545">
        <f>'приложение 13'!BA17/100</f>
        <v>0.9</v>
      </c>
      <c r="BA8" s="545">
        <f>C8*AZ8/100</f>
        <v>0.22500000000000001</v>
      </c>
      <c r="BB8" s="545">
        <f>'приложение 13'!BC17/100</f>
        <v>0.9</v>
      </c>
      <c r="BC8" s="545">
        <f>C8*BB8/100</f>
        <v>0.22500000000000001</v>
      </c>
      <c r="BD8" s="545">
        <f>'приложение 13'!BE17/100</f>
        <v>0.9</v>
      </c>
      <c r="BE8" s="545">
        <f>C8*BD8/100</f>
        <v>0.22500000000000001</v>
      </c>
      <c r="BF8" s="545">
        <f>'приложение 13'!BG17/100</f>
        <v>0.9</v>
      </c>
      <c r="BG8" s="545">
        <f>C8*BF8/100</f>
        <v>0.22500000000000001</v>
      </c>
      <c r="BH8" s="545">
        <f>'приложение 13'!BI17/100</f>
        <v>0.72499999999999987</v>
      </c>
      <c r="BI8" s="545">
        <f>C8*BH8/100</f>
        <v>0.18124999999999997</v>
      </c>
      <c r="BJ8" s="545">
        <f>'приложение 13'!BK17/100</f>
        <v>0.72499999999999987</v>
      </c>
      <c r="BK8" s="545">
        <f>C8*BJ8/100</f>
        <v>0.18124999999999997</v>
      </c>
      <c r="BL8" s="368" t="s">
        <v>93</v>
      </c>
      <c r="BM8" s="543"/>
    </row>
    <row r="9" spans="1:65" ht="187.5" customHeight="1" x14ac:dyDescent="0.25">
      <c r="A9" s="546" t="s">
        <v>634</v>
      </c>
      <c r="B9" s="359" t="s">
        <v>258</v>
      </c>
      <c r="C9" s="389">
        <v>25</v>
      </c>
      <c r="D9" s="219">
        <f>'приложение 14'!F12</f>
        <v>1</v>
      </c>
      <c r="E9" s="219">
        <f>C9*D9/100</f>
        <v>0.25</v>
      </c>
      <c r="F9" s="219">
        <f>'приложение 14'!G12</f>
        <v>1</v>
      </c>
      <c r="G9" s="219">
        <f>C9*F9/100</f>
        <v>0.25</v>
      </c>
      <c r="H9" s="219">
        <f>'приложение 14'!H12</f>
        <v>1</v>
      </c>
      <c r="I9" s="219">
        <f>C9*H9/100</f>
        <v>0.25</v>
      </c>
      <c r="J9" s="219">
        <f>'приложение 14'!I12</f>
        <v>1</v>
      </c>
      <c r="K9" s="219">
        <f>C9*J9/100</f>
        <v>0.25</v>
      </c>
      <c r="L9" s="219">
        <f>'приложение 14'!J12</f>
        <v>1</v>
      </c>
      <c r="M9" s="219">
        <f>50*L9/100</f>
        <v>0.5</v>
      </c>
      <c r="N9" s="219">
        <f>'приложение 14'!K12</f>
        <v>1</v>
      </c>
      <c r="O9" s="219">
        <f>35.71*N9/100</f>
        <v>0.35710000000000003</v>
      </c>
      <c r="P9" s="219">
        <f>'приложение 14'!L12</f>
        <v>1</v>
      </c>
      <c r="Q9" s="219">
        <f>35.71*P9/100</f>
        <v>0.35710000000000003</v>
      </c>
      <c r="R9" s="219">
        <f>'приложение 14'!M12</f>
        <v>1</v>
      </c>
      <c r="S9" s="219">
        <f>35.71*R9/100</f>
        <v>0.35710000000000003</v>
      </c>
      <c r="T9" s="219">
        <f>'приложение 14'!N12</f>
        <v>1</v>
      </c>
      <c r="U9" s="219">
        <f>35.71*T9/100</f>
        <v>0.35710000000000003</v>
      </c>
      <c r="V9" s="219">
        <f>'приложение 14'!P12</f>
        <v>1</v>
      </c>
      <c r="W9" s="219">
        <f>35.71*V9/100</f>
        <v>0.35710000000000003</v>
      </c>
      <c r="X9" s="219">
        <f>'приложение 14'!Q12</f>
        <v>1</v>
      </c>
      <c r="Y9" s="219">
        <f>C9*X9/100</f>
        <v>0.25</v>
      </c>
      <c r="Z9" s="219">
        <f>'приложение 14'!R12</f>
        <v>1</v>
      </c>
      <c r="AA9" s="219">
        <f>C9*Z9/100</f>
        <v>0.25</v>
      </c>
      <c r="AB9" s="219">
        <f>'приложение 14'!S12</f>
        <v>1</v>
      </c>
      <c r="AC9" s="219">
        <f>C9*AB9/100</f>
        <v>0.25</v>
      </c>
      <c r="AD9" s="219">
        <f>'приложение 14'!T12</f>
        <v>1</v>
      </c>
      <c r="AE9" s="219">
        <f>C9*AD9/100</f>
        <v>0.25</v>
      </c>
      <c r="AF9" s="219">
        <f>'приложение 14'!U12</f>
        <v>1</v>
      </c>
      <c r="AG9" s="219">
        <f>C9*AF9/100</f>
        <v>0.25</v>
      </c>
      <c r="AH9" s="219">
        <f>'приложение 14'!V12</f>
        <v>1</v>
      </c>
      <c r="AI9" s="219">
        <f>C9*AH9/100</f>
        <v>0.25</v>
      </c>
      <c r="AJ9" s="219">
        <f>'приложение 14'!W12</f>
        <v>1</v>
      </c>
      <c r="AK9" s="219">
        <f>C9*AJ9/100</f>
        <v>0.25</v>
      </c>
      <c r="AL9" s="219">
        <f>'приложение 14'!X12</f>
        <v>1</v>
      </c>
      <c r="AM9" s="219">
        <f>C9*AL9/100</f>
        <v>0.25</v>
      </c>
      <c r="AN9" s="219">
        <f>'приложение 14'!Y12</f>
        <v>1</v>
      </c>
      <c r="AO9" s="219">
        <f>C9*AN9/100</f>
        <v>0.25</v>
      </c>
      <c r="AP9" s="219">
        <f>'приложение 14'!Z12</f>
        <v>1</v>
      </c>
      <c r="AQ9" s="219">
        <f>C9*AP9/100</f>
        <v>0.25</v>
      </c>
      <c r="AR9" s="219">
        <f>'приложение 14'!AA12</f>
        <v>1</v>
      </c>
      <c r="AS9" s="219">
        <f>31.25*AR9/100</f>
        <v>0.3125</v>
      </c>
      <c r="AT9" s="219">
        <f>'приложение 14'!AB12</f>
        <v>1</v>
      </c>
      <c r="AU9" s="219">
        <f>C9*AT9/100</f>
        <v>0.25</v>
      </c>
      <c r="AV9" s="219">
        <f>'приложение 14'!AC12</f>
        <v>1</v>
      </c>
      <c r="AW9" s="219">
        <f>C9*AV9/100</f>
        <v>0.25</v>
      </c>
      <c r="AX9" s="219">
        <f>'приложение 14'!AD12</f>
        <v>1</v>
      </c>
      <c r="AY9" s="219">
        <f>C9*AX9/100</f>
        <v>0.25</v>
      </c>
      <c r="AZ9" s="219">
        <f>'приложение 14'!AE12</f>
        <v>1</v>
      </c>
      <c r="BA9" s="219">
        <f>C9*AZ9/100</f>
        <v>0.25</v>
      </c>
      <c r="BB9" s="219">
        <f>'приложение 14'!AF12</f>
        <v>1</v>
      </c>
      <c r="BC9" s="219">
        <f>C9*BB9/100</f>
        <v>0.25</v>
      </c>
      <c r="BD9" s="219">
        <f>'приложение 14'!AG12</f>
        <v>1</v>
      </c>
      <c r="BE9" s="219">
        <f>C9*BD9/100</f>
        <v>0.25</v>
      </c>
      <c r="BF9" s="219">
        <f>'приложение 14'!AH12</f>
        <v>1</v>
      </c>
      <c r="BG9" s="219">
        <f>C9*BF9/100</f>
        <v>0.25</v>
      </c>
      <c r="BH9" s="219">
        <f>'приложение 14'!AI12</f>
        <v>1</v>
      </c>
      <c r="BI9" s="219">
        <f>C9*BH9/100</f>
        <v>0.25</v>
      </c>
      <c r="BJ9" s="219">
        <f>'приложение 14'!AJ12</f>
        <v>1</v>
      </c>
      <c r="BK9" s="219">
        <f>C9*BJ9/100</f>
        <v>0.25</v>
      </c>
      <c r="BL9" s="495" t="s">
        <v>635</v>
      </c>
      <c r="BM9" s="543"/>
    </row>
    <row r="10" spans="1:65" ht="229.5" customHeight="1" x14ac:dyDescent="0.25">
      <c r="A10" s="354" t="s">
        <v>691</v>
      </c>
      <c r="B10" s="355" t="s">
        <v>5</v>
      </c>
      <c r="C10" s="356">
        <v>20</v>
      </c>
      <c r="D10" s="545">
        <f>'приложение 9'!I17</f>
        <v>1</v>
      </c>
      <c r="E10" s="545">
        <f>C10*D10/100</f>
        <v>0.2</v>
      </c>
      <c r="F10" s="545">
        <f>'приложение 9'!I18</f>
        <v>0.5</v>
      </c>
      <c r="G10" s="545">
        <f>C10*F10/100</f>
        <v>0.1</v>
      </c>
      <c r="H10" s="545">
        <f>'приложение 9'!I19</f>
        <v>1</v>
      </c>
      <c r="I10" s="545">
        <f>C10*H10/100</f>
        <v>0.2</v>
      </c>
      <c r="J10" s="545">
        <f>'приложение 9'!I20</f>
        <v>1</v>
      </c>
      <c r="K10" s="545">
        <f>C10*J10/100</f>
        <v>0.2</v>
      </c>
      <c r="L10" s="545" t="str">
        <f>'приложение 9'!I21</f>
        <v>*&gt;</v>
      </c>
      <c r="M10" s="545"/>
      <c r="N10" s="545">
        <f>'приложение 9'!I22</f>
        <v>1</v>
      </c>
      <c r="O10" s="545">
        <f>28.58*N10/100</f>
        <v>0.2858</v>
      </c>
      <c r="P10" s="545">
        <f>'приложение 9'!I23</f>
        <v>1</v>
      </c>
      <c r="Q10" s="545">
        <f>28.58*P10/100</f>
        <v>0.2858</v>
      </c>
      <c r="R10" s="545">
        <f>'приложение 9'!I24</f>
        <v>1</v>
      </c>
      <c r="S10" s="545">
        <f>28.58*R10/100</f>
        <v>0.2858</v>
      </c>
      <c r="T10" s="545">
        <f>'приложение 9'!I25</f>
        <v>1</v>
      </c>
      <c r="U10" s="545">
        <f>28.58*T10/100</f>
        <v>0.2858</v>
      </c>
      <c r="V10" s="545">
        <f>'приложение 9'!I26</f>
        <v>1</v>
      </c>
      <c r="W10" s="545">
        <f>28.58*V10/100</f>
        <v>0.2858</v>
      </c>
      <c r="X10" s="545">
        <f>'приложение 9'!I27</f>
        <v>1</v>
      </c>
      <c r="Y10" s="545">
        <f>C10*X10/100</f>
        <v>0.2</v>
      </c>
      <c r="Z10" s="545">
        <f>'приложение 9'!I28</f>
        <v>1</v>
      </c>
      <c r="AA10" s="545">
        <f>C10*Z10/100</f>
        <v>0.2</v>
      </c>
      <c r="AB10" s="545">
        <f>'приложение 9'!I29</f>
        <v>1</v>
      </c>
      <c r="AC10" s="545">
        <f>C10*AB10/100</f>
        <v>0.2</v>
      </c>
      <c r="AD10" s="545">
        <f>'приложение 9'!I30</f>
        <v>1</v>
      </c>
      <c r="AE10" s="545">
        <f>C10*AD10/100</f>
        <v>0.2</v>
      </c>
      <c r="AF10" s="545">
        <f>'приложение 9'!I31</f>
        <v>1</v>
      </c>
      <c r="AG10" s="545">
        <f>C10*AF10/100</f>
        <v>0.2</v>
      </c>
      <c r="AH10" s="545">
        <f>'приложение 9'!I32</f>
        <v>1</v>
      </c>
      <c r="AI10" s="545">
        <f>C10*AH10/100</f>
        <v>0.2</v>
      </c>
      <c r="AJ10" s="545">
        <f>'приложение 9'!I33</f>
        <v>1</v>
      </c>
      <c r="AK10" s="545">
        <f>C10*AJ10/100</f>
        <v>0.2</v>
      </c>
      <c r="AL10" s="545">
        <f>'приложение 9'!I34</f>
        <v>1</v>
      </c>
      <c r="AM10" s="545">
        <f>C10*AL10/100</f>
        <v>0.2</v>
      </c>
      <c r="AN10" s="545">
        <f>'приложение 9'!I35</f>
        <v>0.5</v>
      </c>
      <c r="AO10" s="545">
        <f>C10*AN10/100</f>
        <v>0.1</v>
      </c>
      <c r="AP10" s="545">
        <f>'приложение 9'!I36</f>
        <v>1</v>
      </c>
      <c r="AQ10" s="545">
        <f>C10*AP10/100</f>
        <v>0.2</v>
      </c>
      <c r="AR10" s="545" t="str">
        <f>'приложение 9'!I37</f>
        <v>*&gt;</v>
      </c>
      <c r="AS10" s="545"/>
      <c r="AT10" s="545">
        <f>'приложение 9'!I38</f>
        <v>0</v>
      </c>
      <c r="AU10" s="545">
        <f>C10*AT10/100</f>
        <v>0</v>
      </c>
      <c r="AV10" s="545">
        <f>'приложение 9'!I39</f>
        <v>1</v>
      </c>
      <c r="AW10" s="545">
        <f>C10*AV10/100</f>
        <v>0.2</v>
      </c>
      <c r="AX10" s="545">
        <f>'приложение 9'!I40</f>
        <v>1</v>
      </c>
      <c r="AY10" s="545">
        <f>C10*AX10/100</f>
        <v>0.2</v>
      </c>
      <c r="AZ10" s="545">
        <f>'приложение 9'!I41</f>
        <v>1</v>
      </c>
      <c r="BA10" s="545">
        <f>C10*AZ10/100</f>
        <v>0.2</v>
      </c>
      <c r="BB10" s="545">
        <f>'приложение 9'!I42</f>
        <v>1</v>
      </c>
      <c r="BC10" s="545">
        <f>C10*BB10/100</f>
        <v>0.2</v>
      </c>
      <c r="BD10" s="545">
        <f>'приложение 9'!I43</f>
        <v>1</v>
      </c>
      <c r="BE10" s="545">
        <f>C10*BD10/100</f>
        <v>0.2</v>
      </c>
      <c r="BF10" s="545">
        <f>'приложение 9'!I44</f>
        <v>1</v>
      </c>
      <c r="BG10" s="545">
        <f>C10*BF10/100</f>
        <v>0.2</v>
      </c>
      <c r="BH10" s="545">
        <f>'приложение 9'!I45</f>
        <v>1</v>
      </c>
      <c r="BI10" s="545">
        <f>C10*BH10/100</f>
        <v>0.2</v>
      </c>
      <c r="BJ10" s="545">
        <f>'приложение 9'!I46</f>
        <v>0</v>
      </c>
      <c r="BK10" s="545">
        <f>C10*BJ10/100</f>
        <v>0</v>
      </c>
      <c r="BL10" s="494" t="s">
        <v>267</v>
      </c>
      <c r="BM10" s="543">
        <f>(E10+I10+O10+K10+G10+W10+U10+S10+Q10+M10)/10</f>
        <v>0.21290000000000001</v>
      </c>
    </row>
    <row r="11" spans="1:65" ht="124.5" customHeight="1" x14ac:dyDescent="0.25">
      <c r="A11" s="354" t="s">
        <v>703</v>
      </c>
      <c r="B11" s="355" t="s">
        <v>5</v>
      </c>
      <c r="C11" s="356">
        <v>30</v>
      </c>
      <c r="D11" s="547">
        <f>'Приложение 18'!E18</f>
        <v>0</v>
      </c>
      <c r="E11" s="545">
        <f>C11*D11/100</f>
        <v>0</v>
      </c>
      <c r="F11" s="547">
        <f>'Приложение 18'!E19</f>
        <v>0</v>
      </c>
      <c r="G11" s="545">
        <f>C11*F11/100</f>
        <v>0</v>
      </c>
      <c r="H11" s="547">
        <f>'Приложение 18'!E20</f>
        <v>0</v>
      </c>
      <c r="I11" s="545">
        <f>C11*H11/100</f>
        <v>0</v>
      </c>
      <c r="J11" s="547">
        <f>'Приложение 18'!E21</f>
        <v>0</v>
      </c>
      <c r="K11" s="545">
        <f>C11*J11/100</f>
        <v>0</v>
      </c>
      <c r="L11" s="548" t="str">
        <f>'Приложение 18'!E22</f>
        <v>*****</v>
      </c>
      <c r="M11" s="548"/>
      <c r="N11" s="547" t="str">
        <f>'Приложение 18'!E23</f>
        <v>*****</v>
      </c>
      <c r="O11" s="548"/>
      <c r="P11" s="548" t="str">
        <f>'Приложение 18'!E24</f>
        <v>*****</v>
      </c>
      <c r="Q11" s="548"/>
      <c r="R11" s="547" t="str">
        <f>'Приложение 18'!E25</f>
        <v>*****</v>
      </c>
      <c r="S11" s="545"/>
      <c r="T11" s="547" t="str">
        <f>'Приложение 18'!E26</f>
        <v>*****</v>
      </c>
      <c r="U11" s="545"/>
      <c r="V11" s="547" t="str">
        <f>'Приложение 18'!E27</f>
        <v>*****</v>
      </c>
      <c r="W11" s="545"/>
      <c r="X11" s="547">
        <f>'Приложение 18'!E28</f>
        <v>0</v>
      </c>
      <c r="Y11" s="545">
        <f>C11*X11/100</f>
        <v>0</v>
      </c>
      <c r="Z11" s="547">
        <f>'Приложение 18'!E29</f>
        <v>0</v>
      </c>
      <c r="AA11" s="545">
        <f>C11*Z11/100</f>
        <v>0</v>
      </c>
      <c r="AB11" s="547">
        <f>'Приложение 18'!E30</f>
        <v>0</v>
      </c>
      <c r="AC11" s="545">
        <f>C11*AB11/100</f>
        <v>0</v>
      </c>
      <c r="AD11" s="547">
        <f>'Приложение 18'!E31</f>
        <v>0</v>
      </c>
      <c r="AE11" s="545">
        <f>C11*AD11/100</f>
        <v>0</v>
      </c>
      <c r="AF11" s="547">
        <f>'Приложение 18'!E32</f>
        <v>0</v>
      </c>
      <c r="AG11" s="545">
        <f>C11*AF11/100</f>
        <v>0</v>
      </c>
      <c r="AH11" s="547">
        <f>'Приложение 18'!E33</f>
        <v>0</v>
      </c>
      <c r="AI11" s="545">
        <f>C11*AH11/100</f>
        <v>0</v>
      </c>
      <c r="AJ11" s="547">
        <f>'Приложение 18'!E34</f>
        <v>0</v>
      </c>
      <c r="AK11" s="545">
        <f>C11*AJ11/100</f>
        <v>0</v>
      </c>
      <c r="AL11" s="547">
        <f>'Приложение 18'!E35</f>
        <v>0</v>
      </c>
      <c r="AM11" s="545">
        <f>C11*AL11/100</f>
        <v>0</v>
      </c>
      <c r="AN11" s="547">
        <f>'Приложение 18'!E36</f>
        <v>0</v>
      </c>
      <c r="AO11" s="545">
        <f>C11*AN11/100</f>
        <v>0</v>
      </c>
      <c r="AP11" s="547">
        <f>'Приложение 18'!E37</f>
        <v>0</v>
      </c>
      <c r="AQ11" s="545">
        <f>C11*AP11/100</f>
        <v>0</v>
      </c>
      <c r="AR11" s="547">
        <f>'Приложение 18'!E38</f>
        <v>0</v>
      </c>
      <c r="AS11" s="219">
        <f>37.5*AR11/100</f>
        <v>0</v>
      </c>
      <c r="AT11" s="547">
        <f>'Приложение 18'!E39</f>
        <v>0</v>
      </c>
      <c r="AU11" s="545">
        <f>C11*AT11/100</f>
        <v>0</v>
      </c>
      <c r="AV11" s="547">
        <f>'Приложение 18'!E40</f>
        <v>0</v>
      </c>
      <c r="AW11" s="545">
        <f>C11*AV11/100</f>
        <v>0</v>
      </c>
      <c r="AX11" s="547">
        <f>'Приложение 18'!E41</f>
        <v>0</v>
      </c>
      <c r="AY11" s="545">
        <f>C11*AX11/100</f>
        <v>0</v>
      </c>
      <c r="AZ11" s="547">
        <f>'Приложение 18'!E42</f>
        <v>0</v>
      </c>
      <c r="BA11" s="545">
        <f>C11*AZ11/100</f>
        <v>0</v>
      </c>
      <c r="BB11" s="547">
        <f>'Приложение 18'!E43</f>
        <v>0</v>
      </c>
      <c r="BC11" s="545">
        <f>C11*BB11/100</f>
        <v>0</v>
      </c>
      <c r="BD11" s="547">
        <f>'Приложение 18'!E44</f>
        <v>0</v>
      </c>
      <c r="BE11" s="545">
        <f>C11*BD11/100</f>
        <v>0</v>
      </c>
      <c r="BF11" s="547">
        <f>'Приложение 18'!E45</f>
        <v>0</v>
      </c>
      <c r="BG11" s="545">
        <f>C11*BF11/100</f>
        <v>0</v>
      </c>
      <c r="BH11" s="547">
        <f>'Приложение 18'!E46</f>
        <v>0</v>
      </c>
      <c r="BI11" s="545">
        <f>C11*BH11/100</f>
        <v>0</v>
      </c>
      <c r="BJ11" s="547">
        <f>'Приложение 18'!E47</f>
        <v>0</v>
      </c>
      <c r="BK11" s="545">
        <f>C11*BJ11/100</f>
        <v>0</v>
      </c>
      <c r="BL11" s="495" t="s">
        <v>704</v>
      </c>
      <c r="BM11" s="543"/>
    </row>
    <row r="12" spans="1:65" ht="33.75" customHeight="1" x14ac:dyDescent="0.25">
      <c r="A12" s="354"/>
      <c r="B12" s="355"/>
      <c r="C12" s="356"/>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O12" s="219"/>
      <c r="AP12" s="219"/>
      <c r="AQ12" s="219"/>
      <c r="AR12" s="219"/>
      <c r="AS12" s="219"/>
      <c r="AT12" s="219"/>
      <c r="AU12" s="219"/>
      <c r="AV12" s="219"/>
      <c r="AW12" s="219"/>
      <c r="AX12" s="219"/>
      <c r="AY12" s="219"/>
      <c r="AZ12" s="219"/>
      <c r="BA12" s="219"/>
      <c r="BB12" s="219"/>
      <c r="BC12" s="219"/>
      <c r="BD12" s="219"/>
      <c r="BE12" s="219"/>
      <c r="BF12" s="219"/>
      <c r="BG12" s="219"/>
      <c r="BH12" s="219"/>
      <c r="BI12" s="219"/>
      <c r="BJ12" s="219"/>
      <c r="BK12" s="219"/>
      <c r="BL12" s="494"/>
      <c r="BM12" s="543">
        <f>(E12+I12+O12+K12+G12+W12+U12+S12+Q12+M12)/10</f>
        <v>0</v>
      </c>
    </row>
    <row r="13" spans="1:65" ht="42.75" customHeight="1" thickBot="1" x14ac:dyDescent="0.3">
      <c r="A13" s="626" t="s">
        <v>7</v>
      </c>
      <c r="B13" s="627"/>
      <c r="C13" s="390">
        <v>20</v>
      </c>
      <c r="D13" s="369"/>
      <c r="E13" s="370">
        <f>C13*(E14+E15+E16+E17+E18+E19+E20+E21+E22+E23+E24+E25+E26+E27)*1.05</f>
        <v>9.6595540317874153</v>
      </c>
      <c r="F13" s="369"/>
      <c r="G13" s="370">
        <f>C13*(G14+G15+G16+G17+G18+G19+G20+G21+G22+G23+G24+G25+G26+G27)</f>
        <v>14.499738297889476</v>
      </c>
      <c r="H13" s="369"/>
      <c r="I13" s="370">
        <f>C13*(I14+I15+I16+I17+I18+I19+I20+I21+I22+I23+I24+I25+I26+I27)*1.05</f>
        <v>17.954892952918168</v>
      </c>
      <c r="J13" s="369"/>
      <c r="K13" s="370">
        <f>C13*(K14+K15+K16+K17+K18+K19+K20+K21+K22+K23+K24+K25+K26+K27)*1.05</f>
        <v>12.49436046155941</v>
      </c>
      <c r="L13" s="370"/>
      <c r="M13" s="370">
        <f>C13*(M14+M15+M16+M17+M18+M19+M20+M21+M22+M23+M24+M25+M26+M27)</f>
        <v>14.6668</v>
      </c>
      <c r="N13" s="369"/>
      <c r="O13" s="370">
        <f>C13*(O14+O15+O16+O17+O18+O19+O20+O21+O22+O23+O24+O25+O26+O27)</f>
        <v>11.999200000000002</v>
      </c>
      <c r="P13" s="370"/>
      <c r="Q13" s="370">
        <f>C13*(Q14+Q15+Q16+Q17+Q18+Q19+Q20+Q21+Q22+Q23+Q24+Q25+Q26+Q27)</f>
        <v>6.1528000000000009</v>
      </c>
      <c r="R13" s="370"/>
      <c r="S13" s="370">
        <f>C13*(S14+S15+S16+S17+S18+S19+S20+S21+S22+S23+S24+S25+S26+S27)</f>
        <v>11.087661624143896</v>
      </c>
      <c r="T13" s="369"/>
      <c r="U13" s="370">
        <f>C13*(U14+U15+U16+U17+U18+U19+U20+U21+U22+U23+U24+U25+U26+U27)</f>
        <v>7.7340000000000009</v>
      </c>
      <c r="V13" s="369"/>
      <c r="W13" s="370">
        <f>C13*(W14+W15+W16+W17+W18+W19+W20+W21+W22+W23+W24+W25+W26+W27)</f>
        <v>5.23</v>
      </c>
      <c r="X13" s="371"/>
      <c r="Y13" s="370">
        <f>25*(Y14+Y15+Y16+Y17+Y18+Y19+Y20+Y21+Y22+Y23+Y24+Y25+Y26+Y27)</f>
        <v>14.500000000000002</v>
      </c>
      <c r="Z13" s="371"/>
      <c r="AA13" s="370">
        <f>C13*(AA14+AA15+AA16+AA17+AA18+AA19+AA20+AA21+AA22+AA23+AA24+AA25+AA26+AA27)*1.05</f>
        <v>9.8885176571639963</v>
      </c>
      <c r="AB13" s="371"/>
      <c r="AC13" s="370">
        <f>C13*(AC14+AC15+AC16+AC17+AC18+AC19+AC20+AC21+AC22+AC23+AC24+AC25+AC26+AC27)</f>
        <v>16.721599999999999</v>
      </c>
      <c r="AD13" s="371"/>
      <c r="AE13" s="370">
        <f>C13*(AE14+AE15+AE16+AE17+AE18+AE19+AE20+AE21+AE22+AE23+AE24+AE25+AE26+AE27)*1.05</f>
        <v>8.9447831855135593</v>
      </c>
      <c r="AF13" s="371"/>
      <c r="AG13" s="370">
        <f>C13*(AG14+AG15+AG16+AG17+AG18+AG19+AG20+AG21+AG22+AG23+AG24+AG25+AG26+AG27)</f>
        <v>11.1861704</v>
      </c>
      <c r="AH13" s="371"/>
      <c r="AI13" s="370">
        <f>C13*(AI14+AI15+AI16+AI17+AI18+AI19+AI20+AI21+AI22+AI23+AI24+AI25+AI26+AI27)</f>
        <v>14.660102812002796</v>
      </c>
      <c r="AJ13" s="371"/>
      <c r="AK13" s="370">
        <f>C13*(AK14+AK15+AK16+AK17+AK18+AK19+AK20+AK21+AK22+AK23+AK24+AK25+AK26+AK27)*1.05</f>
        <v>12.669957698195265</v>
      </c>
      <c r="AL13" s="371"/>
      <c r="AM13" s="370">
        <f>25*(AM14+AM15+AM16+AM17+AM18+AM19+AM20+AM21+AM22+AM23+AM24+AM25+AM26+AM27)</f>
        <v>11.499879608933472</v>
      </c>
      <c r="AN13" s="371"/>
      <c r="AO13" s="370">
        <f>C13*(AO14+AO15+AO16+AO17+AO18+AO19+AO20+AO21+AO22+AO23+AO24+AO25+AO26+AO27)</f>
        <v>13.552774151012352</v>
      </c>
      <c r="AP13" s="371"/>
      <c r="AQ13" s="370">
        <f>25*(AQ14+AQ15+AQ16+AQ17+AQ18+AQ19+AQ20+AQ21+AQ22+AQ23+AQ24+AQ25+AQ26+AQ27)</f>
        <v>10.038450000000001</v>
      </c>
      <c r="AR13" s="371"/>
      <c r="AS13" s="370">
        <f>25*(AS14+AS15+AS16+AS17+AS18+AS19+AS20+AS21+AS22+AS23+AS24+AS25+AS26+AS27)</f>
        <v>18.415875</v>
      </c>
      <c r="AT13" s="371"/>
      <c r="AU13" s="370">
        <f>25*(AU14+AU15+AU16+AU17+AU18+AU19+AU20+AU21+AU22+AU23+AU24+AU25+AU26+AU27)</f>
        <v>11.000835</v>
      </c>
      <c r="AV13" s="371"/>
      <c r="AW13" s="370">
        <f>C13*(AW14+AW15+AW16+AW17+AW18+AW19+AW20+AW21+AW22+AW23+AW24+AW25+AW26+AW27)*1.05</f>
        <v>7.8431939460000004</v>
      </c>
      <c r="AX13" s="371"/>
      <c r="AY13" s="370">
        <f>C13*(AY14+AY15+AY16+AY17+AY18+AY19+AY20+AY21+AY22+AY23+AY24+AY25+AY26+AY27)</f>
        <v>14.997974475658381</v>
      </c>
      <c r="AZ13" s="371"/>
      <c r="BA13" s="370">
        <f>C13*(BA14+BA15+BA16+BA17+BA18+BA19+BA20+BA21+BA22+BA23+BA24+BA25+BA26+BA27)</f>
        <v>15.002696631933377</v>
      </c>
      <c r="BB13" s="371"/>
      <c r="BC13" s="370">
        <f>C13*(BC14+BC15+BC16+BC17+BC18+BC19+BC20+BC21+BC22+BC23+BC24+BC25+BC26+BC27)</f>
        <v>12.002217355688323</v>
      </c>
      <c r="BD13" s="371"/>
      <c r="BE13" s="370">
        <f>C13*(BE14+BE15+BE16+BE17+BE18+BE19+BE20+BE21+BE22+BE23+BE24+BE25+BE26+BE27)</f>
        <v>14.002401590090303</v>
      </c>
      <c r="BF13" s="371"/>
      <c r="BG13" s="370">
        <f>C13*(BG14+BG15+BG16+BG17+BG18+BG19+BG20+BG21+BG22+BG23+BG24+BG25+BG26+BG27)</f>
        <v>11.644998181036478</v>
      </c>
      <c r="BH13" s="371"/>
      <c r="BI13" s="370">
        <f>C13*(BI14+BI15+BI16+BI17+BI18+BI19+BI20+BI21+BI22+BI23+BI24+BI25+BI26+BI27)</f>
        <v>16.001490593242067</v>
      </c>
      <c r="BJ13" s="371"/>
      <c r="BK13" s="370">
        <f>C13*(BK14+BK15+BK16+BK17+BK18+BK19+BK20+BK21+BK22+BK23+BK24+BK25+BK26+BK27)</f>
        <v>14.000741991578465</v>
      </c>
      <c r="BL13" s="372"/>
      <c r="BM13" s="543">
        <f>(E13+I13+O13+K13+G13+W13+U13+S13+Q13+M13)/10</f>
        <v>11.147900736829836</v>
      </c>
    </row>
    <row r="14" spans="1:65" ht="205.5" customHeight="1" x14ac:dyDescent="0.25">
      <c r="A14" s="544" t="s">
        <v>231</v>
      </c>
      <c r="B14" s="361" t="s">
        <v>5</v>
      </c>
      <c r="C14" s="388">
        <v>5</v>
      </c>
      <c r="D14" s="545">
        <f>'приложение 3'!V71</f>
        <v>0.99975549388091267</v>
      </c>
      <c r="E14" s="545">
        <f>C14*D14/100</f>
        <v>4.9987774694045639E-2</v>
      </c>
      <c r="F14" s="545">
        <f>'приложение 3'!V72</f>
        <v>1</v>
      </c>
      <c r="G14" s="545">
        <f t="shared" ref="G14:G27" si="0">C14*F14/100</f>
        <v>0.05</v>
      </c>
      <c r="H14" s="545">
        <f>'приложение 3'!V73</f>
        <v>1</v>
      </c>
      <c r="I14" s="545">
        <f t="shared" ref="I14:I24" si="1">C14*H14/100</f>
        <v>0.05</v>
      </c>
      <c r="J14" s="545">
        <f>'приложение 3'!V74</f>
        <v>0</v>
      </c>
      <c r="K14" s="545">
        <f t="shared" ref="K14:K24" si="2">C14*J14/100</f>
        <v>0</v>
      </c>
      <c r="L14" s="545">
        <f>'приложение 3'!V75</f>
        <v>0</v>
      </c>
      <c r="M14" s="545">
        <f>6.67*L14/100</f>
        <v>0</v>
      </c>
      <c r="N14" s="545">
        <f>'приложение 3'!V76</f>
        <v>1</v>
      </c>
      <c r="O14" s="545">
        <f>7.69*N14/100</f>
        <v>7.690000000000001E-2</v>
      </c>
      <c r="P14" s="545">
        <f>'приложение 3'!V77</f>
        <v>0</v>
      </c>
      <c r="Q14" s="545">
        <f>7.69*P14/100</f>
        <v>0</v>
      </c>
      <c r="R14" s="545">
        <f>'приложение 3'!V78</f>
        <v>1</v>
      </c>
      <c r="S14" s="545">
        <f>7.69*R14/100</f>
        <v>7.690000000000001E-2</v>
      </c>
      <c r="T14" s="545">
        <f>'приложение 3'!V79</f>
        <v>0</v>
      </c>
      <c r="U14" s="219">
        <f>6.67*T14/100</f>
        <v>0</v>
      </c>
      <c r="V14" s="545">
        <f>'приложение 3'!V80</f>
        <v>0</v>
      </c>
      <c r="W14" s="545">
        <f>7.69*V14/100</f>
        <v>0</v>
      </c>
      <c r="X14" s="545">
        <f>'приложение 3'!V81</f>
        <v>0</v>
      </c>
      <c r="Y14" s="219">
        <f>C14*X14/100</f>
        <v>0</v>
      </c>
      <c r="Z14" s="545">
        <f>'приложение 3'!V82</f>
        <v>0.97763586396571189</v>
      </c>
      <c r="AA14" s="545">
        <f>C14*Z14/100</f>
        <v>4.8881793198285589E-2</v>
      </c>
      <c r="AB14" s="545">
        <f>'приложение 3'!V83</f>
        <v>1</v>
      </c>
      <c r="AC14" s="545">
        <f>5.56*AB14/100</f>
        <v>5.5599999999999997E-2</v>
      </c>
      <c r="AD14" s="545">
        <f>'приложение 3'!V84</f>
        <v>1</v>
      </c>
      <c r="AE14" s="545">
        <f>C14*AD14/100</f>
        <v>0.05</v>
      </c>
      <c r="AF14" s="545">
        <f>'приложение 3'!V85</f>
        <v>1</v>
      </c>
      <c r="AG14" s="545">
        <f>5.56*AF14/100</f>
        <v>5.5599999999999997E-2</v>
      </c>
      <c r="AH14" s="545">
        <f>'приложение 3'!V86</f>
        <v>0.99858281200279497</v>
      </c>
      <c r="AI14" s="545">
        <f>C14*AH14/100</f>
        <v>4.9929140600139747E-2</v>
      </c>
      <c r="AJ14" s="545">
        <f>'приложение 3'!V87</f>
        <v>0.98972637923358786</v>
      </c>
      <c r="AK14" s="545">
        <f>C14*AJ14/100</f>
        <v>4.9486318961679397E-2</v>
      </c>
      <c r="AL14" s="545">
        <f>'приложение 3'!V88</f>
        <v>0</v>
      </c>
      <c r="AM14" s="545">
        <f>C14*AL14/100</f>
        <v>0</v>
      </c>
      <c r="AN14" s="545">
        <f>'приложение 3'!V89</f>
        <v>1</v>
      </c>
      <c r="AO14" s="545">
        <f>C14*AN14/100</f>
        <v>0.05</v>
      </c>
      <c r="AP14" s="545">
        <f>'приложение 3'!V90</f>
        <v>0</v>
      </c>
      <c r="AQ14" s="545">
        <f>C14*AP14/100</f>
        <v>0</v>
      </c>
      <c r="AR14" s="545">
        <f>'приложение 3'!V91</f>
        <v>0</v>
      </c>
      <c r="AS14" s="219">
        <f>6.672*AR14/100</f>
        <v>0</v>
      </c>
      <c r="AT14" s="545">
        <f>'приложение 3'!V92</f>
        <v>0</v>
      </c>
      <c r="AU14" s="545">
        <f>6.67*AT14/100</f>
        <v>0</v>
      </c>
      <c r="AV14" s="545">
        <f>'приложение 3'!V93</f>
        <v>0</v>
      </c>
      <c r="AW14" s="545">
        <f>6.67*AV14/100</f>
        <v>0</v>
      </c>
      <c r="AX14" s="545">
        <f>'приложение 3'!V94</f>
        <v>1</v>
      </c>
      <c r="AY14" s="545">
        <f>C14*AX14/100</f>
        <v>0.05</v>
      </c>
      <c r="AZ14" s="545">
        <f>'приложение 3'!V95</f>
        <v>1</v>
      </c>
      <c r="BA14" s="545">
        <f>C14*AZ14/100</f>
        <v>0.05</v>
      </c>
      <c r="BB14" s="545">
        <f>'приложение 3'!V96</f>
        <v>1</v>
      </c>
      <c r="BC14" s="545">
        <f>C14*BB14/100</f>
        <v>0.05</v>
      </c>
      <c r="BD14" s="545">
        <f>'приложение 3'!V97</f>
        <v>1</v>
      </c>
      <c r="BE14" s="545">
        <f>C14*BD14/100</f>
        <v>0.05</v>
      </c>
      <c r="BF14" s="545">
        <f>'приложение 3'!V98</f>
        <v>1</v>
      </c>
      <c r="BG14" s="545">
        <f>C14*BF14/100</f>
        <v>0.05</v>
      </c>
      <c r="BH14" s="545">
        <f>'приложение 3'!V99</f>
        <v>1</v>
      </c>
      <c r="BI14" s="545">
        <f>C14*BH14/100</f>
        <v>0.05</v>
      </c>
      <c r="BJ14" s="545">
        <f>'приложение 3'!V100</f>
        <v>1</v>
      </c>
      <c r="BK14" s="545">
        <f>C14*BJ14/100</f>
        <v>0.05</v>
      </c>
      <c r="BL14" s="368" t="s">
        <v>619</v>
      </c>
      <c r="BM14" s="543"/>
    </row>
    <row r="15" spans="1:65" ht="164.45" customHeight="1" x14ac:dyDescent="0.25">
      <c r="A15" s="354" t="s">
        <v>232</v>
      </c>
      <c r="B15" s="355" t="s">
        <v>5</v>
      </c>
      <c r="C15" s="356">
        <v>15</v>
      </c>
      <c r="D15" s="219">
        <f>'приложение 3'!Z71</f>
        <v>1</v>
      </c>
      <c r="E15" s="545">
        <f t="shared" ref="E15:E21" si="3">C15*D15/100</f>
        <v>0.15</v>
      </c>
      <c r="F15" s="219">
        <f>'приложение 3'!Z72</f>
        <v>1</v>
      </c>
      <c r="G15" s="545">
        <f t="shared" si="0"/>
        <v>0.15</v>
      </c>
      <c r="H15" s="219">
        <f>'приложение 3'!Z73</f>
        <v>1</v>
      </c>
      <c r="I15" s="545">
        <f t="shared" si="1"/>
        <v>0.15</v>
      </c>
      <c r="J15" s="219">
        <f>'приложение 3'!Z74</f>
        <v>1</v>
      </c>
      <c r="K15" s="219">
        <f t="shared" si="2"/>
        <v>0.15</v>
      </c>
      <c r="L15" s="219">
        <f>'приложение 3'!Z75</f>
        <v>1</v>
      </c>
      <c r="M15" s="219">
        <f>20*L15/100</f>
        <v>0.2</v>
      </c>
      <c r="N15" s="219">
        <f>'приложение 3'!Z76</f>
        <v>1</v>
      </c>
      <c r="O15" s="219">
        <f>23.08*N15/100</f>
        <v>0.23079999999999998</v>
      </c>
      <c r="P15" s="219">
        <f>'приложение 3'!Z77</f>
        <v>0</v>
      </c>
      <c r="Q15" s="219">
        <f>23.08*P15/100</f>
        <v>0</v>
      </c>
      <c r="R15" s="219">
        <f>'приложение 3'!Z78</f>
        <v>0.93580191164295812</v>
      </c>
      <c r="S15" s="219">
        <f>23.08*R15/100</f>
        <v>0.21598308120719473</v>
      </c>
      <c r="T15" s="219">
        <f>'приложение 3'!Z79</f>
        <v>0</v>
      </c>
      <c r="U15" s="219">
        <f>20*T15/100</f>
        <v>0</v>
      </c>
      <c r="V15" s="219">
        <f>'приложение 3'!Z80</f>
        <v>0</v>
      </c>
      <c r="W15" s="219">
        <f>23.08*V15/100</f>
        <v>0</v>
      </c>
      <c r="X15" s="219">
        <f>'приложение 3'!Z81</f>
        <v>1</v>
      </c>
      <c r="Y15" s="219">
        <f>C15*X15/100</f>
        <v>0.15</v>
      </c>
      <c r="Z15" s="219">
        <f>'приложение 3'!Z82</f>
        <v>1</v>
      </c>
      <c r="AA15" s="219">
        <f t="shared" ref="AA15:AA21" si="4">C15*Z15/100</f>
        <v>0.15</v>
      </c>
      <c r="AB15" s="219">
        <f>'приложение 3'!Z83</f>
        <v>1</v>
      </c>
      <c r="AC15" s="219">
        <f>16.66*AB15/100</f>
        <v>0.1666</v>
      </c>
      <c r="AD15" s="219">
        <f>'приложение 3'!Z84</f>
        <v>0.29979280743829295</v>
      </c>
      <c r="AE15" s="219">
        <f t="shared" ref="AE15:AE21" si="5">C15*AD15/100</f>
        <v>4.4968921115743937E-2</v>
      </c>
      <c r="AF15" s="219">
        <f>'приложение 3'!Z85</f>
        <v>0</v>
      </c>
      <c r="AG15" s="219">
        <f>16.66*AF15/100</f>
        <v>0</v>
      </c>
      <c r="AH15" s="219">
        <f>'приложение 3'!Z86</f>
        <v>1</v>
      </c>
      <c r="AI15" s="219">
        <f t="shared" ref="AI15:AI21" si="6">C15*AH15/100</f>
        <v>0.15</v>
      </c>
      <c r="AJ15" s="219">
        <f>'приложение 3'!Z87</f>
        <v>1</v>
      </c>
      <c r="AK15" s="219">
        <f t="shared" ref="AK15:AK21" si="7">C15*AJ15/100</f>
        <v>0.15</v>
      </c>
      <c r="AL15" s="219">
        <f>'приложение 3'!Z88</f>
        <v>1</v>
      </c>
      <c r="AM15" s="219">
        <f>C15*AL15/100</f>
        <v>0.15</v>
      </c>
      <c r="AN15" s="219">
        <f>'приложение 3'!Z89</f>
        <v>1</v>
      </c>
      <c r="AO15" s="219">
        <f t="shared" ref="AO15:AO21" si="8">C15*AN15/100</f>
        <v>0.15</v>
      </c>
      <c r="AP15" s="219">
        <f>'приложение 3'!Z90</f>
        <v>1</v>
      </c>
      <c r="AQ15" s="219">
        <f t="shared" ref="AQ15:AQ21" si="9">C15*AP15/100</f>
        <v>0.15</v>
      </c>
      <c r="AR15" s="219">
        <f>'приложение 3'!Z91</f>
        <v>1</v>
      </c>
      <c r="AS15" s="219">
        <f>20*AR15/100</f>
        <v>0.2</v>
      </c>
      <c r="AT15" s="219">
        <f>'приложение 3'!Z92</f>
        <v>0</v>
      </c>
      <c r="AU15" s="219">
        <f>20*AT15/100</f>
        <v>0</v>
      </c>
      <c r="AV15" s="219">
        <f>'приложение 3'!Z93</f>
        <v>1</v>
      </c>
      <c r="AW15" s="219">
        <f>20*AV15/100</f>
        <v>0.2</v>
      </c>
      <c r="AX15" s="219">
        <f>'приложение 3'!Z94</f>
        <v>1</v>
      </c>
      <c r="AY15" s="219">
        <f t="shared" ref="AY15:AY21" si="10">C15*AX15/100</f>
        <v>0.15</v>
      </c>
      <c r="AZ15" s="219">
        <f>'приложение 3'!Z95</f>
        <v>1</v>
      </c>
      <c r="BA15" s="219">
        <f t="shared" ref="BA15:BA21" si="11">C15*AZ15/100</f>
        <v>0.15</v>
      </c>
      <c r="BB15" s="219">
        <f>'приложение 3'!Z96</f>
        <v>1</v>
      </c>
      <c r="BC15" s="219">
        <f t="shared" ref="BC15:BC21" si="12">C15*BB15/100</f>
        <v>0.15</v>
      </c>
      <c r="BD15" s="219">
        <f>'приложение 3'!Z97</f>
        <v>1</v>
      </c>
      <c r="BE15" s="219">
        <f t="shared" ref="BE15:BE21" si="13">C15*BD15/100</f>
        <v>0.15</v>
      </c>
      <c r="BF15" s="219">
        <f>'приложение 3'!Z98</f>
        <v>1</v>
      </c>
      <c r="BG15" s="219">
        <f t="shared" ref="BG15:BG21" si="14">C15*BF15/100</f>
        <v>0.15</v>
      </c>
      <c r="BH15" s="219">
        <f>'приложение 3'!Z99</f>
        <v>1</v>
      </c>
      <c r="BI15" s="219">
        <f t="shared" ref="BI15:BI21" si="15">C15*BH15/100</f>
        <v>0.15</v>
      </c>
      <c r="BJ15" s="219">
        <f>'приложение 3'!Z100</f>
        <v>1</v>
      </c>
      <c r="BK15" s="219">
        <f t="shared" ref="BK15:BK21" si="16">C15*BJ15/100</f>
        <v>0.15</v>
      </c>
      <c r="BL15" s="494" t="s">
        <v>618</v>
      </c>
      <c r="BM15" s="543"/>
    </row>
    <row r="16" spans="1:65" ht="150.75" customHeight="1" x14ac:dyDescent="0.25">
      <c r="A16" s="354" t="s">
        <v>617</v>
      </c>
      <c r="B16" s="355" t="s">
        <v>5</v>
      </c>
      <c r="C16" s="356">
        <v>5</v>
      </c>
      <c r="D16" s="219">
        <f>'сведения о КЗ, ДЗ'!C27</f>
        <v>0.99981977448805581</v>
      </c>
      <c r="E16" s="545">
        <f t="shared" si="3"/>
        <v>4.9990988724402795E-2</v>
      </c>
      <c r="F16" s="219">
        <f>'сведения о КЗ, ДЗ'!D27</f>
        <v>0.99998309001747365</v>
      </c>
      <c r="G16" s="545">
        <f t="shared" si="0"/>
        <v>4.999915450087368E-2</v>
      </c>
      <c r="H16" s="219">
        <f>'сведения о КЗ, ДЗ'!E27</f>
        <v>0.99996573583041726</v>
      </c>
      <c r="I16" s="545">
        <f t="shared" si="1"/>
        <v>4.9998286791520866E-2</v>
      </c>
      <c r="J16" s="219">
        <f>'сведения о КЗ, ДЗ'!F27</f>
        <v>0.99941005860602006</v>
      </c>
      <c r="K16" s="219">
        <f t="shared" si="2"/>
        <v>4.9970502930301003E-2</v>
      </c>
      <c r="L16" s="219" t="str">
        <f>'сведения о КЗ, ДЗ'!G27</f>
        <v>******</v>
      </c>
      <c r="M16" s="219"/>
      <c r="N16" s="219" t="str">
        <f>'сведения о КЗ, ДЗ'!H27</f>
        <v>******</v>
      </c>
      <c r="O16" s="219"/>
      <c r="P16" s="219" t="str">
        <f>'сведения о КЗ, ДЗ'!I27</f>
        <v>******</v>
      </c>
      <c r="Q16" s="219"/>
      <c r="R16" s="219" t="str">
        <f>'сведения о КЗ, ДЗ'!J27</f>
        <v>******</v>
      </c>
      <c r="S16" s="219"/>
      <c r="T16" s="219" t="str">
        <f>'сведения о КЗ, ДЗ'!K27</f>
        <v>******</v>
      </c>
      <c r="U16" s="219"/>
      <c r="V16" s="219" t="str">
        <f>'сведения о КЗ, ДЗ'!L27</f>
        <v>******</v>
      </c>
      <c r="W16" s="219"/>
      <c r="X16" s="219">
        <f>'сведения о КЗ, ДЗ'!M27</f>
        <v>1</v>
      </c>
      <c r="Y16" s="219">
        <f t="shared" ref="Y16:Y27" si="17">C16*X16/100</f>
        <v>0.05</v>
      </c>
      <c r="Z16" s="219">
        <f>'сведения о КЗ, ДЗ'!N27</f>
        <v>1</v>
      </c>
      <c r="AA16" s="219">
        <f t="shared" si="4"/>
        <v>0.05</v>
      </c>
      <c r="AB16" s="219">
        <f>'сведения о КЗ, ДЗ'!O27</f>
        <v>1</v>
      </c>
      <c r="AC16" s="219">
        <f>5.56*AB16/100</f>
        <v>5.5599999999999997E-2</v>
      </c>
      <c r="AD16" s="219">
        <f>'сведения о КЗ, ДЗ'!P27</f>
        <v>0.99973050896156779</v>
      </c>
      <c r="AE16" s="219">
        <f t="shared" si="5"/>
        <v>4.9986525448078384E-2</v>
      </c>
      <c r="AF16" s="219">
        <f>'сведения о КЗ, ДЗ'!Q27</f>
        <v>1</v>
      </c>
      <c r="AG16" s="219">
        <f>5.56*AF16/100</f>
        <v>5.5599999999999997E-2</v>
      </c>
      <c r="AH16" s="219">
        <f>'сведения о КЗ, ДЗ'!R27</f>
        <v>1</v>
      </c>
      <c r="AI16" s="219">
        <f t="shared" si="6"/>
        <v>0.05</v>
      </c>
      <c r="AJ16" s="219">
        <f>'сведения о КЗ, ДЗ'!S27</f>
        <v>1</v>
      </c>
      <c r="AK16" s="219">
        <f t="shared" si="7"/>
        <v>0.05</v>
      </c>
      <c r="AL16" s="219">
        <f>'сведения о КЗ, ДЗ'!T27</f>
        <v>0.99990368714677713</v>
      </c>
      <c r="AM16" s="219">
        <f>C16*AL16/100</f>
        <v>4.9995184357338858E-2</v>
      </c>
      <c r="AN16" s="219">
        <f>'сведения о КЗ, ДЗ'!U27</f>
        <v>1</v>
      </c>
      <c r="AO16" s="219">
        <f t="shared" si="8"/>
        <v>0.05</v>
      </c>
      <c r="AP16" s="549">
        <f>'сведения о КЗ, ДЗ'!V27</f>
        <v>0</v>
      </c>
      <c r="AQ16" s="219">
        <f t="shared" si="9"/>
        <v>0</v>
      </c>
      <c r="AR16" s="219" t="str">
        <f>'сведения о КЗ, ДЗ'!W27</f>
        <v>******</v>
      </c>
      <c r="AS16" s="219"/>
      <c r="AT16" s="219" t="str">
        <f>'сведения о КЗ, ДЗ'!X27</f>
        <v>******</v>
      </c>
      <c r="AU16" s="219"/>
      <c r="AV16" s="219" t="str">
        <f>'сведения о КЗ, ДЗ'!Y27</f>
        <v>******</v>
      </c>
      <c r="AW16" s="219"/>
      <c r="AX16" s="219">
        <f>'сведения о КЗ, ДЗ'!Z27</f>
        <v>0.99697447565838382</v>
      </c>
      <c r="AY16" s="219">
        <f t="shared" si="10"/>
        <v>4.9848723782919185E-2</v>
      </c>
      <c r="AZ16" s="219">
        <f>'сведения о КЗ, ДЗ'!AA27</f>
        <v>0.998988111933375</v>
      </c>
      <c r="BA16" s="219">
        <f t="shared" si="11"/>
        <v>4.9949405596668751E-2</v>
      </c>
      <c r="BB16" s="219">
        <f>'сведения о КЗ, ДЗ'!AB27</f>
        <v>0.99914135568832307</v>
      </c>
      <c r="BC16" s="219">
        <f t="shared" si="12"/>
        <v>4.9957067784416151E-2</v>
      </c>
      <c r="BD16" s="219">
        <f>'сведения о КЗ, ДЗ'!AC27</f>
        <v>0.99855659009030084</v>
      </c>
      <c r="BE16" s="219">
        <f t="shared" si="13"/>
        <v>4.9927829504515041E-2</v>
      </c>
      <c r="BF16" s="219">
        <f>'сведения о КЗ, ДЗ'!AD27</f>
        <v>0.99499818103647852</v>
      </c>
      <c r="BG16" s="219">
        <f t="shared" si="14"/>
        <v>4.9749909051823929E-2</v>
      </c>
      <c r="BH16" s="219">
        <f>'сведения о КЗ, ДЗ'!AE27</f>
        <v>0.99882259324206835</v>
      </c>
      <c r="BI16" s="219">
        <f t="shared" si="15"/>
        <v>4.9941129662103415E-2</v>
      </c>
      <c r="BJ16" s="219">
        <f>'сведения о КЗ, ДЗ'!AF27</f>
        <v>0.99920399157846163</v>
      </c>
      <c r="BK16" s="219">
        <f t="shared" si="16"/>
        <v>4.996019957892308E-2</v>
      </c>
      <c r="BL16" s="494" t="s">
        <v>412</v>
      </c>
      <c r="BM16" s="543"/>
    </row>
    <row r="17" spans="1:65" ht="157.15" customHeight="1" x14ac:dyDescent="0.25">
      <c r="A17" s="354" t="s">
        <v>615</v>
      </c>
      <c r="B17" s="355" t="s">
        <v>5</v>
      </c>
      <c r="C17" s="356">
        <v>5</v>
      </c>
      <c r="D17" s="219">
        <f>'сведения о КЗ, ДЗ'!C29</f>
        <v>0</v>
      </c>
      <c r="E17" s="219">
        <f t="shared" si="3"/>
        <v>0</v>
      </c>
      <c r="F17" s="219">
        <f>'сведения о КЗ, ДЗ'!D29</f>
        <v>0</v>
      </c>
      <c r="G17" s="545">
        <f t="shared" si="0"/>
        <v>0</v>
      </c>
      <c r="H17" s="219">
        <f>'сведения о КЗ, ДЗ'!E29</f>
        <v>0.5</v>
      </c>
      <c r="I17" s="545">
        <f t="shared" si="1"/>
        <v>2.5000000000000001E-2</v>
      </c>
      <c r="J17" s="219">
        <f>'сведения о КЗ, ДЗ'!F29</f>
        <v>0</v>
      </c>
      <c r="K17" s="219">
        <f t="shared" si="2"/>
        <v>0</v>
      </c>
      <c r="L17" s="219" t="str">
        <f>'сведения о КЗ, ДЗ'!G29</f>
        <v>******</v>
      </c>
      <c r="M17" s="219"/>
      <c r="N17" s="219" t="str">
        <f>'сведения о КЗ, ДЗ'!H29</f>
        <v>******</v>
      </c>
      <c r="O17" s="219"/>
      <c r="P17" s="219" t="str">
        <f>'сведения о КЗ, ДЗ'!I29</f>
        <v>******</v>
      </c>
      <c r="Q17" s="219"/>
      <c r="R17" s="219" t="str">
        <f>'сведения о КЗ, ДЗ'!J29</f>
        <v>******</v>
      </c>
      <c r="S17" s="219"/>
      <c r="T17" s="219" t="str">
        <f>'сведения о КЗ, ДЗ'!K29</f>
        <v>******</v>
      </c>
      <c r="U17" s="219"/>
      <c r="V17" s="219" t="str">
        <f>'сведения о КЗ, ДЗ'!L29</f>
        <v>******</v>
      </c>
      <c r="W17" s="219"/>
      <c r="X17" s="219">
        <f>'сведения о КЗ, ДЗ'!M29</f>
        <v>1</v>
      </c>
      <c r="Y17" s="219">
        <f t="shared" si="17"/>
        <v>0.05</v>
      </c>
      <c r="Z17" s="219">
        <f>'сведения о КЗ, ДЗ'!N29</f>
        <v>1</v>
      </c>
      <c r="AA17" s="219">
        <f t="shared" si="4"/>
        <v>0.05</v>
      </c>
      <c r="AB17" s="219">
        <f>'сведения о КЗ, ДЗ'!O29</f>
        <v>1</v>
      </c>
      <c r="AC17" s="219">
        <f>5.56*AB17/100</f>
        <v>5.5599999999999997E-2</v>
      </c>
      <c r="AD17" s="219">
        <f>'сведения о КЗ, ДЗ'!P29</f>
        <v>0.5</v>
      </c>
      <c r="AE17" s="219">
        <f t="shared" si="5"/>
        <v>2.5000000000000001E-2</v>
      </c>
      <c r="AF17" s="219">
        <f>'сведения о КЗ, ДЗ'!Q29</f>
        <v>1</v>
      </c>
      <c r="AG17" s="219">
        <f>5.56*AF17/100</f>
        <v>5.5599999999999997E-2</v>
      </c>
      <c r="AH17" s="219">
        <f>'сведения о КЗ, ДЗ'!R29</f>
        <v>1</v>
      </c>
      <c r="AI17" s="219">
        <f t="shared" si="6"/>
        <v>0.05</v>
      </c>
      <c r="AJ17" s="219">
        <f>'сведения о КЗ, ДЗ'!S29</f>
        <v>1</v>
      </c>
      <c r="AK17" s="219">
        <f t="shared" si="7"/>
        <v>0.05</v>
      </c>
      <c r="AL17" s="219">
        <f>'сведения о КЗ, ДЗ'!T29</f>
        <v>0</v>
      </c>
      <c r="AM17" s="219">
        <f t="shared" ref="AM17:AM27" si="18">C17*AL17/100</f>
        <v>0</v>
      </c>
      <c r="AN17" s="219">
        <f>'сведения о КЗ, ДЗ'!U29</f>
        <v>1</v>
      </c>
      <c r="AO17" s="219">
        <f t="shared" si="8"/>
        <v>0.05</v>
      </c>
      <c r="AP17" s="219">
        <f>'сведения о КЗ, ДЗ'!V29</f>
        <v>0</v>
      </c>
      <c r="AQ17" s="219">
        <f t="shared" si="9"/>
        <v>0</v>
      </c>
      <c r="AR17" s="219" t="str">
        <f>'сведения о КЗ, ДЗ'!W29</f>
        <v>******</v>
      </c>
      <c r="AS17" s="219"/>
      <c r="AT17" s="219" t="str">
        <f>'сведения о КЗ, ДЗ'!X29</f>
        <v>******</v>
      </c>
      <c r="AU17" s="219"/>
      <c r="AV17" s="219" t="str">
        <f>'сведения о КЗ, ДЗ'!Y29</f>
        <v>******</v>
      </c>
      <c r="AW17" s="219"/>
      <c r="AX17" s="219">
        <f>'сведения о КЗ, ДЗ'!Z29</f>
        <v>0</v>
      </c>
      <c r="AY17" s="219">
        <f t="shared" si="10"/>
        <v>0</v>
      </c>
      <c r="AZ17" s="219">
        <f>'сведения о КЗ, ДЗ'!AA29</f>
        <v>0</v>
      </c>
      <c r="BA17" s="219">
        <f t="shared" si="11"/>
        <v>0</v>
      </c>
      <c r="BB17" s="219">
        <f>'сведения о КЗ, ДЗ'!AB29</f>
        <v>0</v>
      </c>
      <c r="BC17" s="219">
        <f t="shared" si="12"/>
        <v>0</v>
      </c>
      <c r="BD17" s="219">
        <f>'сведения о КЗ, ДЗ'!AC29</f>
        <v>0</v>
      </c>
      <c r="BE17" s="219">
        <f t="shared" si="13"/>
        <v>0</v>
      </c>
      <c r="BF17" s="219">
        <f>'сведения о КЗ, ДЗ'!AD29</f>
        <v>0</v>
      </c>
      <c r="BG17" s="219">
        <f t="shared" si="14"/>
        <v>0</v>
      </c>
      <c r="BH17" s="219">
        <f>'сведения о КЗ, ДЗ'!AE29</f>
        <v>0</v>
      </c>
      <c r="BI17" s="219">
        <f t="shared" si="15"/>
        <v>0</v>
      </c>
      <c r="BJ17" s="219">
        <f>'сведения о КЗ, ДЗ'!AF29</f>
        <v>0</v>
      </c>
      <c r="BK17" s="219">
        <f t="shared" si="16"/>
        <v>0</v>
      </c>
      <c r="BL17" s="494" t="s">
        <v>616</v>
      </c>
      <c r="BM17" s="543"/>
    </row>
    <row r="18" spans="1:65" ht="150.75" customHeight="1" x14ac:dyDescent="0.25">
      <c r="A18" s="354" t="s">
        <v>614</v>
      </c>
      <c r="B18" s="355" t="s">
        <v>5</v>
      </c>
      <c r="C18" s="356">
        <v>5</v>
      </c>
      <c r="D18" s="219">
        <f>'сведения о КЗ, ДЗ'!C43</f>
        <v>1</v>
      </c>
      <c r="E18" s="545">
        <f t="shared" si="3"/>
        <v>0.05</v>
      </c>
      <c r="F18" s="219">
        <f>'сведения о КЗ, ДЗ'!D43</f>
        <v>0.99975520787199945</v>
      </c>
      <c r="G18" s="545">
        <f t="shared" si="0"/>
        <v>4.9987760393599971E-2</v>
      </c>
      <c r="H18" s="219">
        <f>'сведения о КЗ, ДЗ'!E43</f>
        <v>0.99993231456783527</v>
      </c>
      <c r="I18" s="545">
        <f t="shared" si="1"/>
        <v>4.9996615728391765E-2</v>
      </c>
      <c r="J18" s="219">
        <f>'сведения о КЗ, ДЗ'!F43</f>
        <v>0.99998085716484741</v>
      </c>
      <c r="K18" s="219">
        <f t="shared" si="2"/>
        <v>4.9999042858242373E-2</v>
      </c>
      <c r="L18" s="219" t="str">
        <f>'сведения о КЗ, ДЗ'!G43</f>
        <v>******</v>
      </c>
      <c r="M18" s="219"/>
      <c r="N18" s="219" t="str">
        <f>'сведения о КЗ, ДЗ'!H43</f>
        <v>******</v>
      </c>
      <c r="O18" s="219"/>
      <c r="P18" s="219" t="str">
        <f>'сведения о КЗ, ДЗ'!I43</f>
        <v>******</v>
      </c>
      <c r="Q18" s="219"/>
      <c r="R18" s="219" t="str">
        <f>'сведения о КЗ, ДЗ'!J43</f>
        <v>******</v>
      </c>
      <c r="S18" s="219"/>
      <c r="T18" s="219" t="str">
        <f>'сведения о КЗ, ДЗ'!K43</f>
        <v>******</v>
      </c>
      <c r="U18" s="219"/>
      <c r="V18" s="219" t="str">
        <f>'сведения о КЗ, ДЗ'!L43</f>
        <v>******</v>
      </c>
      <c r="W18" s="219"/>
      <c r="X18" s="219">
        <f>'сведения о КЗ, ДЗ'!M43</f>
        <v>1</v>
      </c>
      <c r="Y18" s="219">
        <f t="shared" si="17"/>
        <v>0.05</v>
      </c>
      <c r="Z18" s="219">
        <f>'сведения о КЗ, ДЗ'!N43</f>
        <v>0</v>
      </c>
      <c r="AA18" s="219">
        <f t="shared" si="4"/>
        <v>0</v>
      </c>
      <c r="AB18" s="219">
        <f>'сведения о КЗ, ДЗ'!O43</f>
        <v>1</v>
      </c>
      <c r="AC18" s="219">
        <f>5.56*AB18/100</f>
        <v>5.5599999999999997E-2</v>
      </c>
      <c r="AD18" s="219">
        <f>'сведения о КЗ, ДЗ'!P43</f>
        <v>0.99973219778408473</v>
      </c>
      <c r="AE18" s="219">
        <f t="shared" si="5"/>
        <v>4.9986609889204239E-2</v>
      </c>
      <c r="AF18" s="219">
        <f>'сведения о КЗ, ДЗ'!Q43</f>
        <v>1</v>
      </c>
      <c r="AG18" s="219">
        <f>5.56*AF18/100</f>
        <v>5.5599999999999997E-2</v>
      </c>
      <c r="AH18" s="219">
        <f>'сведения о КЗ, ДЗ'!R43</f>
        <v>1</v>
      </c>
      <c r="AI18" s="219">
        <f t="shared" si="6"/>
        <v>0.05</v>
      </c>
      <c r="AJ18" s="219">
        <f>'сведения о КЗ, ДЗ'!S43</f>
        <v>1</v>
      </c>
      <c r="AK18" s="219">
        <f t="shared" si="7"/>
        <v>0.05</v>
      </c>
      <c r="AL18" s="219">
        <f>'сведения о КЗ, ДЗ'!T43</f>
        <v>1</v>
      </c>
      <c r="AM18" s="219">
        <f t="shared" si="18"/>
        <v>0.05</v>
      </c>
      <c r="AN18" s="219">
        <f>'сведения о КЗ, ДЗ'!U43</f>
        <v>0.99941415101235287</v>
      </c>
      <c r="AO18" s="219">
        <f t="shared" si="8"/>
        <v>4.9970707550617638E-2</v>
      </c>
      <c r="AP18" s="219">
        <f>'сведения о КЗ, ДЗ'!V43</f>
        <v>1</v>
      </c>
      <c r="AQ18" s="219">
        <f t="shared" si="9"/>
        <v>0.05</v>
      </c>
      <c r="AR18" s="219" t="str">
        <f>'сведения о КЗ, ДЗ'!W43</f>
        <v>******</v>
      </c>
      <c r="AS18" s="219"/>
      <c r="AT18" s="219" t="str">
        <f>'сведения о КЗ, ДЗ'!X43</f>
        <v>******</v>
      </c>
      <c r="AU18" s="219"/>
      <c r="AV18" s="219" t="str">
        <f>'сведения о КЗ, ДЗ'!Y43</f>
        <v>******</v>
      </c>
      <c r="AW18" s="219"/>
      <c r="AX18" s="219">
        <f>'сведения о КЗ, ДЗ'!Z43</f>
        <v>1</v>
      </c>
      <c r="AY18" s="219">
        <f t="shared" si="10"/>
        <v>0.05</v>
      </c>
      <c r="AZ18" s="219">
        <f>'сведения о КЗ, ДЗ'!AA43</f>
        <v>1</v>
      </c>
      <c r="BA18" s="219">
        <f t="shared" si="11"/>
        <v>0.05</v>
      </c>
      <c r="BB18" s="219">
        <f>'сведения о КЗ, ДЗ'!AB43</f>
        <v>1</v>
      </c>
      <c r="BC18" s="219">
        <f t="shared" si="12"/>
        <v>0.05</v>
      </c>
      <c r="BD18" s="219">
        <f>'сведения о КЗ, ДЗ'!AC43</f>
        <v>1</v>
      </c>
      <c r="BE18" s="219">
        <f t="shared" si="13"/>
        <v>0.05</v>
      </c>
      <c r="BF18" s="219">
        <f>'сведения о КЗ, ДЗ'!AD43</f>
        <v>1</v>
      </c>
      <c r="BG18" s="219">
        <f t="shared" si="14"/>
        <v>0.05</v>
      </c>
      <c r="BH18" s="219">
        <f>'сведения о КЗ, ДЗ'!AE43</f>
        <v>1</v>
      </c>
      <c r="BI18" s="219">
        <f t="shared" si="15"/>
        <v>0.05</v>
      </c>
      <c r="BJ18" s="219">
        <f>'сведения о КЗ, ДЗ'!AF43</f>
        <v>1</v>
      </c>
      <c r="BK18" s="219">
        <f t="shared" si="16"/>
        <v>0.05</v>
      </c>
      <c r="BL18" s="494" t="s">
        <v>413</v>
      </c>
      <c r="BM18" s="543">
        <f>(E18+I18+O18+K18+G18+W18+U18+S18+Q18+M18)/10</f>
        <v>1.9998341898023415E-2</v>
      </c>
    </row>
    <row r="19" spans="1:65" ht="150" customHeight="1" x14ac:dyDescent="0.25">
      <c r="A19" s="354" t="s">
        <v>612</v>
      </c>
      <c r="B19" s="355" t="s">
        <v>5</v>
      </c>
      <c r="C19" s="356">
        <v>5</v>
      </c>
      <c r="D19" s="219">
        <f>'сведения о КЗ, ДЗ'!C45</f>
        <v>1</v>
      </c>
      <c r="E19" s="545">
        <f t="shared" si="3"/>
        <v>0.05</v>
      </c>
      <c r="F19" s="219">
        <f>'сведения о КЗ, ДЗ'!D45</f>
        <v>0.5</v>
      </c>
      <c r="G19" s="545">
        <f t="shared" si="0"/>
        <v>2.5000000000000001E-2</v>
      </c>
      <c r="H19" s="219">
        <v>1</v>
      </c>
      <c r="I19" s="545">
        <f t="shared" si="1"/>
        <v>0.05</v>
      </c>
      <c r="J19" s="219">
        <f>'сведения о КЗ, ДЗ'!F45</f>
        <v>0.5</v>
      </c>
      <c r="K19" s="219">
        <f t="shared" si="2"/>
        <v>2.5000000000000001E-2</v>
      </c>
      <c r="L19" s="219" t="str">
        <f>'сведения о КЗ, ДЗ'!G45</f>
        <v>******</v>
      </c>
      <c r="M19" s="219"/>
      <c r="N19" s="219" t="str">
        <f>'сведения о КЗ, ДЗ'!H45</f>
        <v>******</v>
      </c>
      <c r="O19" s="219"/>
      <c r="P19" s="219" t="str">
        <f>'сведения о КЗ, ДЗ'!I45</f>
        <v>******</v>
      </c>
      <c r="Q19" s="219"/>
      <c r="R19" s="219" t="str">
        <f>'сведения о КЗ, ДЗ'!J45</f>
        <v>******</v>
      </c>
      <c r="S19" s="219"/>
      <c r="T19" s="219" t="str">
        <f>'сведения о КЗ, ДЗ'!K45</f>
        <v>******</v>
      </c>
      <c r="U19" s="219"/>
      <c r="V19" s="219" t="str">
        <f>'сведения о КЗ, ДЗ'!L45</f>
        <v>******</v>
      </c>
      <c r="W19" s="219"/>
      <c r="X19" s="219">
        <f>'сведения о КЗ, ДЗ'!M45</f>
        <v>1</v>
      </c>
      <c r="Y19" s="219">
        <f t="shared" si="17"/>
        <v>0.05</v>
      </c>
      <c r="Z19" s="219">
        <f>'сведения о КЗ, ДЗ'!N45</f>
        <v>0</v>
      </c>
      <c r="AA19" s="219">
        <f t="shared" si="4"/>
        <v>0</v>
      </c>
      <c r="AB19" s="219">
        <f>'сведения о КЗ, ДЗ'!O45</f>
        <v>1</v>
      </c>
      <c r="AC19" s="219">
        <f>5.56*AB19/100</f>
        <v>5.5599999999999997E-2</v>
      </c>
      <c r="AD19" s="219">
        <f>'сведения о КЗ, ДЗ'!P45</f>
        <v>0.5</v>
      </c>
      <c r="AE19" s="219">
        <f t="shared" si="5"/>
        <v>2.5000000000000001E-2</v>
      </c>
      <c r="AF19" s="219">
        <f>'сведения о КЗ, ДЗ'!Q45</f>
        <v>1</v>
      </c>
      <c r="AG19" s="219">
        <f>5.56*AF19/100</f>
        <v>5.5599999999999997E-2</v>
      </c>
      <c r="AH19" s="219">
        <f>'сведения о КЗ, ДЗ'!R45</f>
        <v>1</v>
      </c>
      <c r="AI19" s="219">
        <f t="shared" si="6"/>
        <v>0.05</v>
      </c>
      <c r="AJ19" s="219">
        <f>'сведения о КЗ, ДЗ'!S45</f>
        <v>1</v>
      </c>
      <c r="AK19" s="219">
        <f t="shared" si="7"/>
        <v>0.05</v>
      </c>
      <c r="AL19" s="219">
        <f>'сведения о КЗ, ДЗ'!T45</f>
        <v>1</v>
      </c>
      <c r="AM19" s="219">
        <f t="shared" si="18"/>
        <v>0.05</v>
      </c>
      <c r="AN19" s="219">
        <f>'сведения о КЗ, ДЗ'!U45</f>
        <v>0.5</v>
      </c>
      <c r="AO19" s="219">
        <f t="shared" si="8"/>
        <v>2.5000000000000001E-2</v>
      </c>
      <c r="AP19" s="219">
        <f>'сведения о КЗ, ДЗ'!V45</f>
        <v>1</v>
      </c>
      <c r="AQ19" s="219">
        <f t="shared" si="9"/>
        <v>0.05</v>
      </c>
      <c r="AR19" s="219" t="str">
        <f>'сведения о КЗ, ДЗ'!W45</f>
        <v>******</v>
      </c>
      <c r="AS19" s="219"/>
      <c r="AT19" s="219" t="str">
        <f>'сведения о КЗ, ДЗ'!X45</f>
        <v>******</v>
      </c>
      <c r="AU19" s="219"/>
      <c r="AV19" s="219" t="str">
        <f>'сведения о КЗ, ДЗ'!Y45</f>
        <v>******</v>
      </c>
      <c r="AW19" s="219"/>
      <c r="AX19" s="219">
        <f>'сведения о КЗ, ДЗ'!Z45</f>
        <v>1</v>
      </c>
      <c r="AY19" s="219">
        <f t="shared" si="10"/>
        <v>0.05</v>
      </c>
      <c r="AZ19" s="219">
        <f>'сведения о КЗ, ДЗ'!AA45</f>
        <v>1</v>
      </c>
      <c r="BA19" s="219">
        <f t="shared" si="11"/>
        <v>0.05</v>
      </c>
      <c r="BB19" s="219">
        <f>'сведения о КЗ, ДЗ'!AB45</f>
        <v>1</v>
      </c>
      <c r="BC19" s="219">
        <f t="shared" si="12"/>
        <v>0.05</v>
      </c>
      <c r="BD19" s="219">
        <f>'сведения о КЗ, ДЗ'!AC45</f>
        <v>1</v>
      </c>
      <c r="BE19" s="219">
        <f t="shared" si="13"/>
        <v>0.05</v>
      </c>
      <c r="BF19" s="219">
        <f>'сведения о КЗ, ДЗ'!AD45</f>
        <v>1</v>
      </c>
      <c r="BG19" s="219">
        <f t="shared" si="14"/>
        <v>0.05</v>
      </c>
      <c r="BH19" s="219">
        <f>'сведения о КЗ, ДЗ'!AE45</f>
        <v>1</v>
      </c>
      <c r="BI19" s="219">
        <f t="shared" si="15"/>
        <v>0.05</v>
      </c>
      <c r="BJ19" s="219">
        <f>'сведения о КЗ, ДЗ'!AF45</f>
        <v>1</v>
      </c>
      <c r="BK19" s="219">
        <f t="shared" si="16"/>
        <v>0.05</v>
      </c>
      <c r="BL19" s="494" t="s">
        <v>613</v>
      </c>
      <c r="BM19" s="543"/>
    </row>
    <row r="20" spans="1:65" ht="138.75" customHeight="1" x14ac:dyDescent="0.25">
      <c r="A20" s="544" t="s">
        <v>610</v>
      </c>
      <c r="B20" s="355" t="s">
        <v>5</v>
      </c>
      <c r="C20" s="356">
        <v>5</v>
      </c>
      <c r="D20" s="545">
        <f>'сведения о КЗ, ДЗ'!C47</f>
        <v>1</v>
      </c>
      <c r="E20" s="545">
        <f t="shared" si="3"/>
        <v>0.05</v>
      </c>
      <c r="F20" s="545">
        <f>'сведения о КЗ, ДЗ'!D47</f>
        <v>1</v>
      </c>
      <c r="G20" s="545">
        <f t="shared" si="0"/>
        <v>0.05</v>
      </c>
      <c r="H20" s="545">
        <f>'сведения о КЗ, ДЗ'!E47</f>
        <v>1</v>
      </c>
      <c r="I20" s="545">
        <f t="shared" si="1"/>
        <v>0.05</v>
      </c>
      <c r="J20" s="545">
        <f>'сведения о КЗ, ДЗ'!F47</f>
        <v>1</v>
      </c>
      <c r="K20" s="219">
        <f t="shared" si="2"/>
        <v>0.05</v>
      </c>
      <c r="L20" s="545" t="str">
        <f>'сведения о КЗ, ДЗ'!G47</f>
        <v>******</v>
      </c>
      <c r="M20" s="545"/>
      <c r="N20" s="545" t="str">
        <f>'сведения о КЗ, ДЗ'!H47</f>
        <v>******</v>
      </c>
      <c r="O20" s="219"/>
      <c r="P20" s="545" t="str">
        <f>'сведения о КЗ, ДЗ'!I47</f>
        <v>******</v>
      </c>
      <c r="Q20" s="545"/>
      <c r="R20" s="545" t="str">
        <f>'сведения о КЗ, ДЗ'!J47</f>
        <v>******</v>
      </c>
      <c r="S20" s="219"/>
      <c r="T20" s="545" t="str">
        <f>'сведения о КЗ, ДЗ'!K47</f>
        <v>******</v>
      </c>
      <c r="U20" s="219"/>
      <c r="V20" s="545" t="str">
        <f>'сведения о КЗ, ДЗ'!L47</f>
        <v>******</v>
      </c>
      <c r="W20" s="219"/>
      <c r="X20" s="545">
        <f>'сведения о КЗ, ДЗ'!M47</f>
        <v>0</v>
      </c>
      <c r="Y20" s="219">
        <f t="shared" si="17"/>
        <v>0</v>
      </c>
      <c r="Z20" s="545">
        <f>'сведения о КЗ, ДЗ'!N47</f>
        <v>1</v>
      </c>
      <c r="AA20" s="219">
        <f t="shared" si="4"/>
        <v>0.05</v>
      </c>
      <c r="AB20" s="545">
        <f>'сведения о КЗ, ДЗ'!O47</f>
        <v>1</v>
      </c>
      <c r="AC20" s="219">
        <f>5.56*AB20/100</f>
        <v>5.5599999999999997E-2</v>
      </c>
      <c r="AD20" s="545">
        <f>'сведения о КЗ, ДЗ'!P47</f>
        <v>0</v>
      </c>
      <c r="AE20" s="219">
        <f t="shared" si="5"/>
        <v>0</v>
      </c>
      <c r="AF20" s="545">
        <f>'сведения о КЗ, ДЗ'!Q47</f>
        <v>1</v>
      </c>
      <c r="AG20" s="219">
        <f>5.56*AF20/100</f>
        <v>5.5599999999999997E-2</v>
      </c>
      <c r="AH20" s="545">
        <f>'сведения о КЗ, ДЗ'!R47</f>
        <v>1</v>
      </c>
      <c r="AI20" s="219">
        <f t="shared" si="6"/>
        <v>0.05</v>
      </c>
      <c r="AJ20" s="545">
        <f>'сведения о КЗ, ДЗ'!S47</f>
        <v>1</v>
      </c>
      <c r="AK20" s="219">
        <f t="shared" si="7"/>
        <v>0.05</v>
      </c>
      <c r="AL20" s="545">
        <f>'сведения о КЗ, ДЗ'!T47</f>
        <v>0</v>
      </c>
      <c r="AM20" s="219">
        <f t="shared" si="18"/>
        <v>0</v>
      </c>
      <c r="AN20" s="545">
        <f>'сведения о КЗ, ДЗ'!U47</f>
        <v>1</v>
      </c>
      <c r="AO20" s="219">
        <f t="shared" si="8"/>
        <v>0.05</v>
      </c>
      <c r="AP20" s="545">
        <f>'сведения о КЗ, ДЗ'!V47</f>
        <v>1</v>
      </c>
      <c r="AQ20" s="219">
        <f t="shared" si="9"/>
        <v>0.05</v>
      </c>
      <c r="AR20" s="545" t="str">
        <f>'сведения о КЗ, ДЗ'!W47</f>
        <v>******</v>
      </c>
      <c r="AS20" s="545"/>
      <c r="AT20" s="545" t="str">
        <f>'сведения о КЗ, ДЗ'!X47</f>
        <v>******</v>
      </c>
      <c r="AU20" s="545"/>
      <c r="AV20" s="545" t="str">
        <f>'сведения о КЗ, ДЗ'!Y47</f>
        <v>******</v>
      </c>
      <c r="AW20" s="545"/>
      <c r="AX20" s="545">
        <f>'сведения о КЗ, ДЗ'!Z47</f>
        <v>1</v>
      </c>
      <c r="AY20" s="219">
        <f t="shared" si="10"/>
        <v>0.05</v>
      </c>
      <c r="AZ20" s="545">
        <f>'сведения о КЗ, ДЗ'!AA47</f>
        <v>1</v>
      </c>
      <c r="BA20" s="219">
        <f t="shared" si="11"/>
        <v>0.05</v>
      </c>
      <c r="BB20" s="545">
        <f>'сведения о КЗ, ДЗ'!AB47</f>
        <v>1</v>
      </c>
      <c r="BC20" s="219">
        <f t="shared" si="12"/>
        <v>0.05</v>
      </c>
      <c r="BD20" s="545">
        <f>'сведения о КЗ, ДЗ'!AC47</f>
        <v>1</v>
      </c>
      <c r="BE20" s="219">
        <f t="shared" si="13"/>
        <v>0.05</v>
      </c>
      <c r="BF20" s="545">
        <f>'сведения о КЗ, ДЗ'!AD47</f>
        <v>1</v>
      </c>
      <c r="BG20" s="219">
        <f t="shared" si="14"/>
        <v>0.05</v>
      </c>
      <c r="BH20" s="545">
        <f>'сведения о КЗ, ДЗ'!AE47</f>
        <v>1</v>
      </c>
      <c r="BI20" s="219">
        <f t="shared" si="15"/>
        <v>0.05</v>
      </c>
      <c r="BJ20" s="545">
        <f>'сведения о КЗ, ДЗ'!AF47</f>
        <v>1</v>
      </c>
      <c r="BK20" s="219">
        <f t="shared" si="16"/>
        <v>0.05</v>
      </c>
      <c r="BL20" s="368" t="s">
        <v>611</v>
      </c>
      <c r="BM20" s="543"/>
    </row>
    <row r="21" spans="1:65" ht="153" customHeight="1" x14ac:dyDescent="0.25">
      <c r="A21" s="544" t="s">
        <v>713</v>
      </c>
      <c r="B21" s="361" t="s">
        <v>5</v>
      </c>
      <c r="C21" s="388">
        <v>10</v>
      </c>
      <c r="D21" s="545">
        <f>'приложение 3'!P71</f>
        <v>0.5</v>
      </c>
      <c r="E21" s="545">
        <f t="shared" si="3"/>
        <v>0.05</v>
      </c>
      <c r="F21" s="545">
        <f>'приложение 3'!P72</f>
        <v>0.8</v>
      </c>
      <c r="G21" s="545">
        <f t="shared" si="0"/>
        <v>0.08</v>
      </c>
      <c r="H21" s="545">
        <f>'приложение 3'!P73</f>
        <v>0.8</v>
      </c>
      <c r="I21" s="545">
        <f t="shared" si="1"/>
        <v>0.08</v>
      </c>
      <c r="J21" s="545">
        <f>'приложение 3'!P74</f>
        <v>0.8</v>
      </c>
      <c r="K21" s="545">
        <f t="shared" si="2"/>
        <v>0.08</v>
      </c>
      <c r="L21" s="545">
        <f>'приложение 3'!P75</f>
        <v>0.8</v>
      </c>
      <c r="M21" s="545">
        <f>13.33*L21/100</f>
        <v>0.10664000000000001</v>
      </c>
      <c r="N21" s="545">
        <f>'приложение 3'!P76</f>
        <v>0.8</v>
      </c>
      <c r="O21" s="545">
        <f>15.38*N21/100</f>
        <v>0.12304000000000002</v>
      </c>
      <c r="P21" s="545">
        <f>'приложение 3'!P77</f>
        <v>0.8</v>
      </c>
      <c r="Q21" s="545">
        <f>15.38*P21/100</f>
        <v>0.12304000000000002</v>
      </c>
      <c r="R21" s="545">
        <f>'приложение 3'!P78</f>
        <v>0.8</v>
      </c>
      <c r="S21" s="545">
        <f>15.38*R21/100</f>
        <v>0.12304000000000002</v>
      </c>
      <c r="T21" s="545">
        <f>'приложение 3'!P79</f>
        <v>0.8</v>
      </c>
      <c r="U21" s="545">
        <f>13.33*T21/100</f>
        <v>0.10664000000000001</v>
      </c>
      <c r="V21" s="545">
        <f>'приложение 3'!P80</f>
        <v>0.8</v>
      </c>
      <c r="W21" s="545">
        <f>15.38*V21/100</f>
        <v>0.12304000000000002</v>
      </c>
      <c r="X21" s="545">
        <f>'приложение 3'!P81</f>
        <v>0.8</v>
      </c>
      <c r="Y21" s="219">
        <f t="shared" si="17"/>
        <v>0.08</v>
      </c>
      <c r="Z21" s="545">
        <f>'приложение 3'!P82</f>
        <v>0.5</v>
      </c>
      <c r="AA21" s="545">
        <f t="shared" si="4"/>
        <v>0.05</v>
      </c>
      <c r="AB21" s="545">
        <f>'приложение 3'!P83</f>
        <v>1</v>
      </c>
      <c r="AC21" s="545">
        <f>11.11*AB21/100</f>
        <v>0.11109999999999999</v>
      </c>
      <c r="AD21" s="545">
        <f>'приложение 3'!P84</f>
        <v>0.5</v>
      </c>
      <c r="AE21" s="545">
        <f t="shared" si="5"/>
        <v>0.05</v>
      </c>
      <c r="AF21" s="545">
        <f>'приложение 3'!P85</f>
        <v>0</v>
      </c>
      <c r="AG21" s="545">
        <f>11.11*AF21/100</f>
        <v>0</v>
      </c>
      <c r="AH21" s="545">
        <f>'приложение 3'!P86</f>
        <v>0.8</v>
      </c>
      <c r="AI21" s="545">
        <f t="shared" si="6"/>
        <v>0.08</v>
      </c>
      <c r="AJ21" s="545">
        <f>'приложение 3'!P87</f>
        <v>0.5</v>
      </c>
      <c r="AK21" s="545">
        <f t="shared" si="7"/>
        <v>0.05</v>
      </c>
      <c r="AL21" s="545">
        <f>'приложение 3'!P88</f>
        <v>0.8</v>
      </c>
      <c r="AM21" s="219">
        <f t="shared" si="18"/>
        <v>0.08</v>
      </c>
      <c r="AN21" s="545">
        <f>'приложение 3'!P89</f>
        <v>0.8</v>
      </c>
      <c r="AO21" s="545">
        <f t="shared" si="8"/>
        <v>0.08</v>
      </c>
      <c r="AP21" s="545">
        <f>'приложение 3'!P90</f>
        <v>0</v>
      </c>
      <c r="AQ21" s="545">
        <f t="shared" si="9"/>
        <v>0</v>
      </c>
      <c r="AR21" s="545">
        <f>'приложение 3'!P91</f>
        <v>1</v>
      </c>
      <c r="AS21" s="545">
        <f>13.33*AR21/100</f>
        <v>0.1333</v>
      </c>
      <c r="AT21" s="545">
        <f>'приложение 3'!P92</f>
        <v>1</v>
      </c>
      <c r="AU21" s="545">
        <f>13.33*AT21/100</f>
        <v>0.1333</v>
      </c>
      <c r="AV21" s="545">
        <f>'приложение 3'!P93</f>
        <v>0</v>
      </c>
      <c r="AW21" s="545">
        <f>13.33*AV21/100</f>
        <v>0</v>
      </c>
      <c r="AX21" s="545">
        <f>'приложение 3'!P94</f>
        <v>0.5</v>
      </c>
      <c r="AY21" s="545">
        <f t="shared" si="10"/>
        <v>0.05</v>
      </c>
      <c r="AZ21" s="545">
        <f>'приложение 3'!P95</f>
        <v>0.5</v>
      </c>
      <c r="BA21" s="545">
        <f t="shared" si="11"/>
        <v>0.05</v>
      </c>
      <c r="BB21" s="545">
        <f>'приложение 3'!P96</f>
        <v>0</v>
      </c>
      <c r="BC21" s="545">
        <f t="shared" si="12"/>
        <v>0</v>
      </c>
      <c r="BD21" s="545">
        <f>'приложение 3'!P97</f>
        <v>0</v>
      </c>
      <c r="BE21" s="545">
        <f t="shared" si="13"/>
        <v>0</v>
      </c>
      <c r="BF21" s="545">
        <f>'приложение 3'!P98</f>
        <v>0.8</v>
      </c>
      <c r="BG21" s="545">
        <f t="shared" si="14"/>
        <v>0.08</v>
      </c>
      <c r="BH21" s="545">
        <f>'приложение 3'!P99</f>
        <v>0</v>
      </c>
      <c r="BI21" s="545">
        <f t="shared" si="15"/>
        <v>0</v>
      </c>
      <c r="BJ21" s="545">
        <f>'приложение 3'!P100</f>
        <v>0</v>
      </c>
      <c r="BK21" s="545">
        <f t="shared" si="16"/>
        <v>0</v>
      </c>
      <c r="BL21" s="368" t="s">
        <v>606</v>
      </c>
      <c r="BM21" s="543"/>
    </row>
    <row r="22" spans="1:65" ht="124.5" customHeight="1" x14ac:dyDescent="0.25">
      <c r="A22" s="354" t="s">
        <v>236</v>
      </c>
      <c r="B22" s="355" t="s">
        <v>5</v>
      </c>
      <c r="C22" s="356">
        <v>10</v>
      </c>
      <c r="D22" s="219">
        <f>'приложение 3'!AC71</f>
        <v>0</v>
      </c>
      <c r="E22" s="219">
        <f t="shared" ref="E22:E27" si="19">C22*D22/100</f>
        <v>0</v>
      </c>
      <c r="F22" s="219">
        <f>'приложение 3'!AC72</f>
        <v>1</v>
      </c>
      <c r="G22" s="545">
        <f t="shared" si="0"/>
        <v>0.1</v>
      </c>
      <c r="H22" s="219">
        <f>'приложение 3'!AC73</f>
        <v>0</v>
      </c>
      <c r="I22" s="545">
        <f t="shared" si="1"/>
        <v>0</v>
      </c>
      <c r="J22" s="219">
        <f>'приложение 3'!AC74</f>
        <v>0</v>
      </c>
      <c r="K22" s="219">
        <f t="shared" si="2"/>
        <v>0</v>
      </c>
      <c r="L22" s="219">
        <f>'приложение 3'!AC75</f>
        <v>1</v>
      </c>
      <c r="M22" s="219">
        <f>13.33*L22/100</f>
        <v>0.1333</v>
      </c>
      <c r="N22" s="219" t="str">
        <f>'приложение 3'!AC76</f>
        <v>***</v>
      </c>
      <c r="O22" s="219"/>
      <c r="P22" s="219" t="str">
        <f>'приложение 3'!AC77</f>
        <v>***</v>
      </c>
      <c r="Q22" s="219"/>
      <c r="R22" s="219" t="str">
        <f>'приложение 3'!AC78</f>
        <v>***</v>
      </c>
      <c r="S22" s="219"/>
      <c r="T22" s="219">
        <f>'приложение 3'!AC79</f>
        <v>0</v>
      </c>
      <c r="U22" s="219">
        <f>13.33*T22/100</f>
        <v>0</v>
      </c>
      <c r="V22" s="219" t="str">
        <f>'приложение 3'!AC80</f>
        <v>***</v>
      </c>
      <c r="W22" s="219"/>
      <c r="X22" s="219">
        <f>'приложение 3'!AC81</f>
        <v>0</v>
      </c>
      <c r="Y22" s="219">
        <f t="shared" si="17"/>
        <v>0</v>
      </c>
      <c r="Z22" s="219">
        <f>'приложение 3'!AC82</f>
        <v>0</v>
      </c>
      <c r="AA22" s="219">
        <f>C22*Z22/100</f>
        <v>0</v>
      </c>
      <c r="AB22" s="219" t="str">
        <f>'приложение 3'!AC83</f>
        <v>***</v>
      </c>
      <c r="AC22" s="219"/>
      <c r="AD22" s="219">
        <f>'приложение 3'!AC84</f>
        <v>0</v>
      </c>
      <c r="AE22" s="219">
        <f>C22*AD22/100</f>
        <v>0</v>
      </c>
      <c r="AF22" s="219" t="str">
        <f>'приложение 3'!AC85</f>
        <v>***</v>
      </c>
      <c r="AG22" s="219"/>
      <c r="AH22" s="219">
        <f>'приложение 3'!AC86</f>
        <v>1</v>
      </c>
      <c r="AI22" s="219">
        <f>C22*AH22/100</f>
        <v>0.1</v>
      </c>
      <c r="AJ22" s="219">
        <f>'приложение 3'!AC87</f>
        <v>0</v>
      </c>
      <c r="AK22" s="219">
        <f>C22*AJ22/100</f>
        <v>0</v>
      </c>
      <c r="AL22" s="219">
        <f>'приложение 3'!AC88</f>
        <v>0</v>
      </c>
      <c r="AM22" s="219">
        <f t="shared" si="18"/>
        <v>0</v>
      </c>
      <c r="AN22" s="219">
        <f>'приложение 3'!AC89</f>
        <v>0</v>
      </c>
      <c r="AO22" s="219">
        <f>C22*AN22/100</f>
        <v>0</v>
      </c>
      <c r="AP22" s="219">
        <f>'приложение 3'!AC90</f>
        <v>1</v>
      </c>
      <c r="AQ22" s="219">
        <f>C22*AP22/100</f>
        <v>0.1</v>
      </c>
      <c r="AR22" s="219">
        <f>'приложение 3'!AC91</f>
        <v>0</v>
      </c>
      <c r="AS22" s="219">
        <f>13.33*AR22/100</f>
        <v>0</v>
      </c>
      <c r="AT22" s="219">
        <f>'приложение 3'!AC92</f>
        <v>0</v>
      </c>
      <c r="AU22" s="219">
        <f>13.33*AT22/100</f>
        <v>0</v>
      </c>
      <c r="AV22" s="219">
        <f>'приложение 3'!AC93</f>
        <v>1</v>
      </c>
      <c r="AW22" s="219">
        <f>13.33*AV22/100</f>
        <v>0.1333</v>
      </c>
      <c r="AX22" s="219">
        <f>'приложение 3'!AC94</f>
        <v>0</v>
      </c>
      <c r="AY22" s="219">
        <f>C22*AX22/100</f>
        <v>0</v>
      </c>
      <c r="AZ22" s="219">
        <f>'приложение 3'!AC95</f>
        <v>0</v>
      </c>
      <c r="BA22" s="219">
        <f>C22*AZ22/100</f>
        <v>0</v>
      </c>
      <c r="BB22" s="219">
        <f>'приложение 3'!AC96</f>
        <v>0</v>
      </c>
      <c r="BC22" s="219">
        <f>C22*BB22/100</f>
        <v>0</v>
      </c>
      <c r="BD22" s="219">
        <f>'приложение 3'!AC97</f>
        <v>0</v>
      </c>
      <c r="BE22" s="219">
        <f>C22*BD22/100</f>
        <v>0</v>
      </c>
      <c r="BF22" s="219">
        <f>'приложение 3'!AC98</f>
        <v>0</v>
      </c>
      <c r="BG22" s="219">
        <f>C22*BF22/100</f>
        <v>0</v>
      </c>
      <c r="BH22" s="219">
        <f>'приложение 3'!AC99</f>
        <v>1</v>
      </c>
      <c r="BI22" s="219">
        <f>C22*BH22/100</f>
        <v>0.1</v>
      </c>
      <c r="BJ22" s="219">
        <f>'приложение 3'!AC100</f>
        <v>0</v>
      </c>
      <c r="BK22" s="219">
        <f>C22*BJ22/100</f>
        <v>0</v>
      </c>
      <c r="BL22" s="494" t="s">
        <v>607</v>
      </c>
      <c r="BM22" s="543"/>
    </row>
    <row r="23" spans="1:65" ht="100.5" customHeight="1" x14ac:dyDescent="0.25">
      <c r="A23" s="354" t="s">
        <v>251</v>
      </c>
      <c r="B23" s="355" t="s">
        <v>5</v>
      </c>
      <c r="C23" s="356">
        <v>10</v>
      </c>
      <c r="D23" s="219">
        <f>'приложение 15'!H54</f>
        <v>0</v>
      </c>
      <c r="E23" s="219">
        <f t="shared" si="19"/>
        <v>0</v>
      </c>
      <c r="F23" s="219">
        <f>'приложение 15'!H55</f>
        <v>0</v>
      </c>
      <c r="G23" s="545">
        <f t="shared" si="0"/>
        <v>0</v>
      </c>
      <c r="H23" s="219">
        <f>'приложение 15'!H56</f>
        <v>1</v>
      </c>
      <c r="I23" s="545">
        <f t="shared" si="1"/>
        <v>0.1</v>
      </c>
      <c r="J23" s="219">
        <f>'приложение 15'!H57</f>
        <v>1</v>
      </c>
      <c r="K23" s="219">
        <f t="shared" si="2"/>
        <v>0.1</v>
      </c>
      <c r="L23" s="219">
        <f>'приложение 15'!H58</f>
        <v>0</v>
      </c>
      <c r="M23" s="219">
        <f>13.33*L23/100</f>
        <v>0</v>
      </c>
      <c r="N23" s="219">
        <f>'приложение 15'!H59</f>
        <v>0</v>
      </c>
      <c r="O23" s="219">
        <f>15.38*N23/100</f>
        <v>0</v>
      </c>
      <c r="P23" s="219">
        <f>'приложение 15'!H60</f>
        <v>0</v>
      </c>
      <c r="Q23" s="219">
        <f>15.38*P23/100</f>
        <v>0</v>
      </c>
      <c r="R23" s="219">
        <f>'приложение 15'!H61</f>
        <v>0</v>
      </c>
      <c r="S23" s="219">
        <f>15.38*R23/100</f>
        <v>0</v>
      </c>
      <c r="T23" s="219">
        <f>'приложение 15'!H62</f>
        <v>1</v>
      </c>
      <c r="U23" s="219">
        <f>13.33*T23/100</f>
        <v>0.1333</v>
      </c>
      <c r="V23" s="219">
        <f>'приложение 15'!H63</f>
        <v>0</v>
      </c>
      <c r="W23" s="219">
        <f>15.38*V23/100</f>
        <v>0</v>
      </c>
      <c r="X23" s="219">
        <f>'приложение 15'!H64</f>
        <v>0</v>
      </c>
      <c r="Y23" s="219">
        <f t="shared" si="17"/>
        <v>0</v>
      </c>
      <c r="Z23" s="219">
        <f>'приложение 15'!H65</f>
        <v>0</v>
      </c>
      <c r="AA23" s="219">
        <f>C23*Z23/100</f>
        <v>0</v>
      </c>
      <c r="AB23" s="219">
        <f>'приложение 15'!H66</f>
        <v>0</v>
      </c>
      <c r="AC23" s="219">
        <f>11.11*AB23/100</f>
        <v>0</v>
      </c>
      <c r="AD23" s="219">
        <f>'приложение 15'!H67</f>
        <v>1</v>
      </c>
      <c r="AE23" s="219">
        <f>C23*AD23/100</f>
        <v>0.1</v>
      </c>
      <c r="AF23" s="219">
        <f>'приложение 15'!H68</f>
        <v>0</v>
      </c>
      <c r="AG23" s="219">
        <f>11.11*AF23/100</f>
        <v>0</v>
      </c>
      <c r="AH23" s="219">
        <f>'приложение 15'!H69</f>
        <v>0</v>
      </c>
      <c r="AI23" s="219">
        <f>C23*AH23/100</f>
        <v>0</v>
      </c>
      <c r="AJ23" s="219">
        <f>'приложение 15'!H70</f>
        <v>0</v>
      </c>
      <c r="AK23" s="219">
        <f>C23*AJ23/100</f>
        <v>0</v>
      </c>
      <c r="AL23" s="219">
        <f>'приложение 15'!H71</f>
        <v>0</v>
      </c>
      <c r="AM23" s="219">
        <f t="shared" si="18"/>
        <v>0</v>
      </c>
      <c r="AN23" s="219">
        <f>'приложение 15'!H72</f>
        <v>0</v>
      </c>
      <c r="AO23" s="219">
        <f>C23*AN23/100</f>
        <v>0</v>
      </c>
      <c r="AP23" s="219">
        <f>'приложение 15'!H73</f>
        <v>0</v>
      </c>
      <c r="AQ23" s="219">
        <f>C23*AP23/100</f>
        <v>0</v>
      </c>
      <c r="AR23" s="219">
        <f>'приложение 15'!H74</f>
        <v>1</v>
      </c>
      <c r="AS23" s="219">
        <f>13.33*AR23/100</f>
        <v>0.1333</v>
      </c>
      <c r="AT23" s="219">
        <f>'приложение 15'!H75</f>
        <v>1</v>
      </c>
      <c r="AU23" s="219">
        <f>13.33*AT23/100</f>
        <v>0.1333</v>
      </c>
      <c r="AV23" s="219">
        <f>'приложение 15'!H76</f>
        <v>0</v>
      </c>
      <c r="AW23" s="219">
        <f>13.33*AV23/100</f>
        <v>0</v>
      </c>
      <c r="AX23" s="219">
        <f>'приложение 15'!H77</f>
        <v>1</v>
      </c>
      <c r="AY23" s="219">
        <f>C23*AX23/100</f>
        <v>0.1</v>
      </c>
      <c r="AZ23" s="219">
        <f>'приложение 15'!H78</f>
        <v>1</v>
      </c>
      <c r="BA23" s="219">
        <f>C23*AZ23/100</f>
        <v>0.1</v>
      </c>
      <c r="BB23" s="219">
        <f>'приложение 15'!H79</f>
        <v>0</v>
      </c>
      <c r="BC23" s="219">
        <f>C23*BB23/100</f>
        <v>0</v>
      </c>
      <c r="BD23" s="219">
        <f>'приложение 15'!H80</f>
        <v>1</v>
      </c>
      <c r="BE23" s="219">
        <f>C23*BD23/100</f>
        <v>0.1</v>
      </c>
      <c r="BF23" s="219">
        <f>'приложение 15'!H81</f>
        <v>0</v>
      </c>
      <c r="BG23" s="219">
        <f>C23*BF23/100</f>
        <v>0</v>
      </c>
      <c r="BH23" s="219">
        <f>'приложение 15'!H82</f>
        <v>1</v>
      </c>
      <c r="BI23" s="219">
        <f>C23*BH23/100</f>
        <v>0.1</v>
      </c>
      <c r="BJ23" s="219">
        <f>'приложение 15'!H83</f>
        <v>1</v>
      </c>
      <c r="BK23" s="219">
        <f>C23*BJ23/100</f>
        <v>0.1</v>
      </c>
      <c r="BL23" s="494" t="s">
        <v>608</v>
      </c>
      <c r="BM23" s="543"/>
    </row>
    <row r="24" spans="1:65" ht="137.25" customHeight="1" x14ac:dyDescent="0.25">
      <c r="A24" s="354" t="s">
        <v>238</v>
      </c>
      <c r="B24" s="355" t="s">
        <v>5</v>
      </c>
      <c r="C24" s="356">
        <v>7</v>
      </c>
      <c r="D24" s="219">
        <f>'приложение 15'!K54</f>
        <v>0</v>
      </c>
      <c r="E24" s="219">
        <f t="shared" si="19"/>
        <v>0</v>
      </c>
      <c r="F24" s="219">
        <f>'приложение 15'!K55</f>
        <v>0</v>
      </c>
      <c r="G24" s="545">
        <f t="shared" si="0"/>
        <v>0</v>
      </c>
      <c r="H24" s="219">
        <f>'приложение 15'!K56</f>
        <v>1</v>
      </c>
      <c r="I24" s="545">
        <f t="shared" si="1"/>
        <v>7.0000000000000007E-2</v>
      </c>
      <c r="J24" s="219">
        <f>'приложение 15'!K57</f>
        <v>1</v>
      </c>
      <c r="K24" s="219">
        <f t="shared" si="2"/>
        <v>7.0000000000000007E-2</v>
      </c>
      <c r="L24" s="219">
        <f>'приложение 15'!K58</f>
        <v>1</v>
      </c>
      <c r="M24" s="219">
        <f>9.34*L24/100</f>
        <v>9.3399999999999997E-2</v>
      </c>
      <c r="N24" s="219">
        <f>'приложение 15'!K59</f>
        <v>1</v>
      </c>
      <c r="O24" s="219">
        <f>10.77*N24/100</f>
        <v>0.10769999999999999</v>
      </c>
      <c r="P24" s="219">
        <f>'приложение 15'!K60</f>
        <v>1</v>
      </c>
      <c r="Q24" s="219">
        <f>10.77*P24/100</f>
        <v>0.10769999999999999</v>
      </c>
      <c r="R24" s="219">
        <f>'приложение 15'!K61</f>
        <v>1</v>
      </c>
      <c r="S24" s="219">
        <f>10.77*R24/100</f>
        <v>0.10769999999999999</v>
      </c>
      <c r="T24" s="219">
        <f>'приложение 15'!K62</f>
        <v>1</v>
      </c>
      <c r="U24" s="219">
        <f>9.34*T24/100</f>
        <v>9.3399999999999997E-2</v>
      </c>
      <c r="V24" s="219">
        <f>'приложение 15'!K63</f>
        <v>1</v>
      </c>
      <c r="W24" s="219">
        <f>10.77*V24/100</f>
        <v>0.10769999999999999</v>
      </c>
      <c r="X24" s="219">
        <f>'приложение 15'!K64</f>
        <v>1</v>
      </c>
      <c r="Y24" s="219">
        <f t="shared" si="17"/>
        <v>7.0000000000000007E-2</v>
      </c>
      <c r="Z24" s="219">
        <f>'приложение 15'!K65</f>
        <v>1</v>
      </c>
      <c r="AA24" s="219">
        <f>C24*Z24/100</f>
        <v>7.0000000000000007E-2</v>
      </c>
      <c r="AB24" s="219">
        <f>'приложение 15'!K66</f>
        <v>1</v>
      </c>
      <c r="AC24" s="219">
        <f>7.77*AB24/100</f>
        <v>7.7699999999999991E-2</v>
      </c>
      <c r="AD24" s="219">
        <f>'приложение 15'!K67</f>
        <v>0</v>
      </c>
      <c r="AE24" s="219">
        <f>C24*AD24/100</f>
        <v>0</v>
      </c>
      <c r="AF24" s="219">
        <f>'приложение 15'!K68</f>
        <v>1</v>
      </c>
      <c r="AG24" s="219">
        <f>7.77*AF24/100</f>
        <v>7.7699999999999991E-2</v>
      </c>
      <c r="AH24" s="219">
        <f>'приложение 15'!K69</f>
        <v>1</v>
      </c>
      <c r="AI24" s="219">
        <f>C24*AH24/100</f>
        <v>7.0000000000000007E-2</v>
      </c>
      <c r="AJ24" s="219">
        <f>'приложение 15'!K70</f>
        <v>1</v>
      </c>
      <c r="AK24" s="219">
        <f>C24*AJ24/100</f>
        <v>7.0000000000000007E-2</v>
      </c>
      <c r="AL24" s="219">
        <f>'приложение 15'!K71</f>
        <v>0</v>
      </c>
      <c r="AM24" s="219">
        <f t="shared" si="18"/>
        <v>0</v>
      </c>
      <c r="AN24" s="219">
        <f>'приложение 15'!K72</f>
        <v>1</v>
      </c>
      <c r="AO24" s="219">
        <f>C24*AN24/100</f>
        <v>7.0000000000000007E-2</v>
      </c>
      <c r="AP24" s="219">
        <f>'приложение 15'!K73</f>
        <v>0</v>
      </c>
      <c r="AQ24" s="219">
        <f>C24*AP24/100</f>
        <v>0</v>
      </c>
      <c r="AR24" s="219">
        <f>'приложение 15'!K74</f>
        <v>1</v>
      </c>
      <c r="AS24" s="219">
        <f>9.34*AR24/100</f>
        <v>9.3399999999999997E-2</v>
      </c>
      <c r="AT24" s="219">
        <f>'приложение 15'!K75</f>
        <v>0</v>
      </c>
      <c r="AU24" s="219">
        <f>9.34*AT24/100</f>
        <v>0</v>
      </c>
      <c r="AV24" s="219">
        <f>'приложение 15'!K76</f>
        <v>0</v>
      </c>
      <c r="AW24" s="219">
        <f>9.34*AV24/100</f>
        <v>0</v>
      </c>
      <c r="AX24" s="219">
        <f>'приложение 15'!K77</f>
        <v>1</v>
      </c>
      <c r="AY24" s="219">
        <f>C24*AX24/100</f>
        <v>7.0000000000000007E-2</v>
      </c>
      <c r="AZ24" s="219">
        <f>'приложение 15'!K78</f>
        <v>1</v>
      </c>
      <c r="BA24" s="219">
        <f>C24*AZ24/100</f>
        <v>7.0000000000000007E-2</v>
      </c>
      <c r="BB24" s="219">
        <f>'приложение 15'!K79</f>
        <v>1</v>
      </c>
      <c r="BC24" s="219">
        <f>C24*BB24/100</f>
        <v>7.0000000000000007E-2</v>
      </c>
      <c r="BD24" s="219">
        <f>'приложение 15'!K80</f>
        <v>1</v>
      </c>
      <c r="BE24" s="219">
        <f>C24*BD24/100</f>
        <v>7.0000000000000007E-2</v>
      </c>
      <c r="BF24" s="219">
        <f>'приложение 15'!K81</f>
        <v>1</v>
      </c>
      <c r="BG24" s="219">
        <f>C24*BF24/100</f>
        <v>7.0000000000000007E-2</v>
      </c>
      <c r="BH24" s="219">
        <f>'приложение 15'!K82</f>
        <v>1</v>
      </c>
      <c r="BI24" s="219">
        <f>C24*BH24/100</f>
        <v>7.0000000000000007E-2</v>
      </c>
      <c r="BJ24" s="219">
        <f>'приложение 15'!K83</f>
        <v>1</v>
      </c>
      <c r="BK24" s="219">
        <f>C24*BJ24/100</f>
        <v>7.0000000000000007E-2</v>
      </c>
      <c r="BL24" s="494" t="s">
        <v>609</v>
      </c>
      <c r="BM24" s="543"/>
    </row>
    <row r="25" spans="1:65" ht="102" customHeight="1" x14ac:dyDescent="0.25">
      <c r="A25" s="354" t="s">
        <v>239</v>
      </c>
      <c r="B25" s="355" t="s">
        <v>5</v>
      </c>
      <c r="C25" s="356">
        <v>5</v>
      </c>
      <c r="D25" s="219">
        <f>'приложение 15'!M54</f>
        <v>0.2</v>
      </c>
      <c r="E25" s="219">
        <f t="shared" si="19"/>
        <v>0.01</v>
      </c>
      <c r="F25" s="219">
        <f>'приложение 15'!M55</f>
        <v>0.8</v>
      </c>
      <c r="G25" s="545">
        <f t="shared" si="0"/>
        <v>0.04</v>
      </c>
      <c r="H25" s="219">
        <f>'приложение 15'!M56</f>
        <v>1</v>
      </c>
      <c r="I25" s="550">
        <f>C25*H25/100</f>
        <v>0.05</v>
      </c>
      <c r="J25" s="219">
        <f>'приложение 15'!M57</f>
        <v>0.4</v>
      </c>
      <c r="K25" s="219">
        <f>J25*C25/100</f>
        <v>0.02</v>
      </c>
      <c r="L25" s="219">
        <f>'приложение 15'!M58</f>
        <v>1</v>
      </c>
      <c r="M25" s="219">
        <f>6.67*L25/100</f>
        <v>6.6699999999999995E-2</v>
      </c>
      <c r="N25" s="219">
        <f>'приложение 15'!M59</f>
        <v>0.8</v>
      </c>
      <c r="O25" s="219">
        <f>7.69*N25/100</f>
        <v>6.1520000000000012E-2</v>
      </c>
      <c r="P25" s="219">
        <f>'приложение 15'!M60</f>
        <v>1</v>
      </c>
      <c r="Q25" s="219">
        <f>7.69*P25/100</f>
        <v>7.690000000000001E-2</v>
      </c>
      <c r="R25" s="219">
        <f>'приложение 15'!M61</f>
        <v>0.4</v>
      </c>
      <c r="S25" s="219">
        <f>7.69*R25/100</f>
        <v>3.0760000000000006E-2</v>
      </c>
      <c r="T25" s="219">
        <f>'приложение 15'!M62</f>
        <v>0.8</v>
      </c>
      <c r="U25" s="219">
        <f>6.67*T25/100</f>
        <v>5.3360000000000005E-2</v>
      </c>
      <c r="V25" s="219">
        <f>'приложение 15'!M63</f>
        <v>0.4</v>
      </c>
      <c r="W25" s="219">
        <f>7.69*V25/100</f>
        <v>3.0760000000000006E-2</v>
      </c>
      <c r="X25" s="219">
        <f>'приложение 15'!M64</f>
        <v>1</v>
      </c>
      <c r="Y25" s="219">
        <f t="shared" si="17"/>
        <v>0.05</v>
      </c>
      <c r="Z25" s="219">
        <f>'приложение 15'!M65</f>
        <v>0.6</v>
      </c>
      <c r="AA25" s="219">
        <f>C25*G25/100</f>
        <v>2E-3</v>
      </c>
      <c r="AB25" s="219">
        <f>'приложение 15'!M66</f>
        <v>1</v>
      </c>
      <c r="AC25" s="219">
        <f>5.56*I25/100</f>
        <v>2.7799999999999995E-3</v>
      </c>
      <c r="AD25" s="219">
        <f>'приложение 15'!M67</f>
        <v>0.4</v>
      </c>
      <c r="AE25" s="219">
        <f>C25*K25/100</f>
        <v>1E-3</v>
      </c>
      <c r="AF25" s="219">
        <f>'приложение 15'!M68</f>
        <v>1</v>
      </c>
      <c r="AG25" s="219">
        <f>5.56*M25/100</f>
        <v>3.7085199999999994E-3</v>
      </c>
      <c r="AH25" s="219">
        <f>'приложение 15'!M69</f>
        <v>1</v>
      </c>
      <c r="AI25" s="219">
        <f>C25*O25/100</f>
        <v>3.0760000000000006E-3</v>
      </c>
      <c r="AJ25" s="219">
        <f>'приложение 15'!M70</f>
        <v>1</v>
      </c>
      <c r="AK25" s="219">
        <f>C25*Q25/100</f>
        <v>3.8450000000000008E-3</v>
      </c>
      <c r="AL25" s="219">
        <f>'приложение 15'!M71</f>
        <v>1</v>
      </c>
      <c r="AM25" s="219">
        <f t="shared" si="18"/>
        <v>0.05</v>
      </c>
      <c r="AN25" s="219">
        <f>'приложение 15'!M72</f>
        <v>0.6</v>
      </c>
      <c r="AO25" s="219">
        <f>C25*U25/100</f>
        <v>2.6680000000000002E-3</v>
      </c>
      <c r="AP25" s="219">
        <f>'приложение 15'!M73</f>
        <v>1</v>
      </c>
      <c r="AQ25" s="219">
        <f>C25*W25/100</f>
        <v>1.5380000000000003E-3</v>
      </c>
      <c r="AR25" s="219">
        <f>'приложение 15'!M74</f>
        <v>1</v>
      </c>
      <c r="AS25" s="219">
        <f>6.67*Y25/100</f>
        <v>3.3350000000000003E-3</v>
      </c>
      <c r="AT25" s="219">
        <f>'приложение 15'!M75</f>
        <v>1</v>
      </c>
      <c r="AU25" s="219">
        <f>6.67*AA25/100</f>
        <v>1.3339999999999999E-4</v>
      </c>
      <c r="AV25" s="219">
        <f>'приложение 15'!M76</f>
        <v>0.2</v>
      </c>
      <c r="AW25" s="219">
        <f>6.67*AC25/100</f>
        <v>1.8542599999999996E-4</v>
      </c>
      <c r="AX25" s="219">
        <f>'приложение 15'!M77</f>
        <v>1</v>
      </c>
      <c r="AY25" s="219">
        <f>C25*AE25/100</f>
        <v>5.0000000000000002E-5</v>
      </c>
      <c r="AZ25" s="219">
        <f>'приложение 15'!M78</f>
        <v>1</v>
      </c>
      <c r="BA25" s="219">
        <f>C25*AG25/100</f>
        <v>1.8542599999999996E-4</v>
      </c>
      <c r="BB25" s="219">
        <f>'приложение 15'!M79</f>
        <v>1</v>
      </c>
      <c r="BC25" s="219">
        <f>C25*AI25/100</f>
        <v>1.5380000000000003E-4</v>
      </c>
      <c r="BD25" s="219">
        <f>'приложение 15'!M80</f>
        <v>1</v>
      </c>
      <c r="BE25" s="219">
        <f>C25*AK25/100</f>
        <v>1.9225000000000004E-4</v>
      </c>
      <c r="BF25" s="219">
        <f>'приложение 15'!M81</f>
        <v>1</v>
      </c>
      <c r="BG25" s="219">
        <f>C25*AM25/100</f>
        <v>2.5000000000000001E-3</v>
      </c>
      <c r="BH25" s="219">
        <f>'приложение 15'!M82</f>
        <v>1</v>
      </c>
      <c r="BI25" s="219">
        <f>C25*AO25/100</f>
        <v>1.3340000000000002E-4</v>
      </c>
      <c r="BJ25" s="219">
        <f>'приложение 15'!M83</f>
        <v>1</v>
      </c>
      <c r="BK25" s="219">
        <f>C25*AQ25/100</f>
        <v>7.6900000000000013E-5</v>
      </c>
      <c r="BL25" s="494" t="s">
        <v>601</v>
      </c>
      <c r="BM25" s="543"/>
    </row>
    <row r="26" spans="1:65" ht="164.25" customHeight="1" x14ac:dyDescent="0.25">
      <c r="A26" s="360" t="s">
        <v>240</v>
      </c>
      <c r="B26" s="355" t="s">
        <v>259</v>
      </c>
      <c r="C26" s="356">
        <v>3</v>
      </c>
      <c r="D26" s="550">
        <f>'приложение 10'!H68</f>
        <v>0</v>
      </c>
      <c r="E26" s="550">
        <f t="shared" si="19"/>
        <v>0</v>
      </c>
      <c r="F26" s="550">
        <f>'приложение 10'!H69</f>
        <v>1</v>
      </c>
      <c r="G26" s="545">
        <f t="shared" si="0"/>
        <v>0.03</v>
      </c>
      <c r="H26" s="550">
        <f>'приложение 10'!H70</f>
        <v>1</v>
      </c>
      <c r="I26" s="550">
        <f>C26*H26/100</f>
        <v>0.03</v>
      </c>
      <c r="J26" s="550">
        <f>'приложение 10'!H71</f>
        <v>0</v>
      </c>
      <c r="K26" s="550">
        <f>C26*J26/100</f>
        <v>0</v>
      </c>
      <c r="L26" s="550">
        <f>'приложение 10'!H72</f>
        <v>0</v>
      </c>
      <c r="M26" s="550">
        <f>4*L26/100</f>
        <v>0</v>
      </c>
      <c r="N26" s="550">
        <f>'приложение 10'!H73</f>
        <v>0</v>
      </c>
      <c r="O26" s="550">
        <f>4.63*N26/100</f>
        <v>0</v>
      </c>
      <c r="P26" s="550">
        <f>'приложение 10'!H74</f>
        <v>0</v>
      </c>
      <c r="Q26" s="550">
        <f>4.63*P26/100</f>
        <v>0</v>
      </c>
      <c r="R26" s="550">
        <f>'приложение 10'!H75</f>
        <v>0</v>
      </c>
      <c r="S26" s="550">
        <f>4.63*R26/100</f>
        <v>0</v>
      </c>
      <c r="T26" s="550">
        <f>'приложение 10'!H76</f>
        <v>0</v>
      </c>
      <c r="U26" s="550">
        <f>4*T26/100</f>
        <v>0</v>
      </c>
      <c r="V26" s="550">
        <f>'приложение 10'!H77</f>
        <v>0</v>
      </c>
      <c r="W26" s="550">
        <f>4.63*V26/100</f>
        <v>0</v>
      </c>
      <c r="X26" s="550">
        <f>'приложение 10'!H78</f>
        <v>1</v>
      </c>
      <c r="Y26" s="219">
        <f t="shared" si="17"/>
        <v>0.03</v>
      </c>
      <c r="Z26" s="550">
        <f>'приложение 10'!H79</f>
        <v>0</v>
      </c>
      <c r="AA26" s="550">
        <f>C26*Z26/100</f>
        <v>0</v>
      </c>
      <c r="AB26" s="550">
        <f>'приложение 10'!H80</f>
        <v>1</v>
      </c>
      <c r="AC26" s="550">
        <f>3.32*AB26/100</f>
        <v>3.32E-2</v>
      </c>
      <c r="AD26" s="550">
        <f>'приложение 10'!H81</f>
        <v>1</v>
      </c>
      <c r="AE26" s="550">
        <f>C26*AD26/100</f>
        <v>0.03</v>
      </c>
      <c r="AF26" s="550">
        <f>'приложение 10'!H82</f>
        <v>1</v>
      </c>
      <c r="AG26" s="550">
        <f>3.32*AF26/100</f>
        <v>3.32E-2</v>
      </c>
      <c r="AH26" s="550">
        <f>'приложение 10'!H83</f>
        <v>1</v>
      </c>
      <c r="AI26" s="550">
        <f>C26*AH26/100</f>
        <v>0.03</v>
      </c>
      <c r="AJ26" s="550">
        <f>'приложение 10'!H84</f>
        <v>1</v>
      </c>
      <c r="AK26" s="550">
        <f>C26*AJ26/100</f>
        <v>0.03</v>
      </c>
      <c r="AL26" s="550">
        <f>'приложение 10'!H85</f>
        <v>1</v>
      </c>
      <c r="AM26" s="219">
        <f t="shared" si="18"/>
        <v>0.03</v>
      </c>
      <c r="AN26" s="550">
        <f>'приложение 10'!H86</f>
        <v>0</v>
      </c>
      <c r="AO26" s="550">
        <f>C26*AN26/100</f>
        <v>0</v>
      </c>
      <c r="AP26" s="550">
        <f>'приложение 10'!H87</f>
        <v>0</v>
      </c>
      <c r="AQ26" s="550">
        <f>C26*AP26/100</f>
        <v>0</v>
      </c>
      <c r="AR26" s="550">
        <f>'приложение 10'!H88</f>
        <v>1</v>
      </c>
      <c r="AS26" s="550">
        <f>4*AR26/100</f>
        <v>0.04</v>
      </c>
      <c r="AT26" s="550">
        <f>'приложение 10'!H89</f>
        <v>1</v>
      </c>
      <c r="AU26" s="550">
        <f>4*AT26/100</f>
        <v>0.04</v>
      </c>
      <c r="AV26" s="550">
        <f>'приложение 10'!H90</f>
        <v>1</v>
      </c>
      <c r="AW26" s="550">
        <f>4*AV26/100</f>
        <v>0.04</v>
      </c>
      <c r="AX26" s="550">
        <f>'приложение 10'!H91</f>
        <v>1</v>
      </c>
      <c r="AY26" s="550">
        <f>C26*AX26/100</f>
        <v>0.03</v>
      </c>
      <c r="AZ26" s="550">
        <f>'приложение 10'!H92</f>
        <v>1</v>
      </c>
      <c r="BA26" s="550">
        <f>C26*AZ26/100</f>
        <v>0.03</v>
      </c>
      <c r="BB26" s="550">
        <f>'приложение 10'!H93</f>
        <v>1</v>
      </c>
      <c r="BC26" s="550">
        <f>C26*BB26/100</f>
        <v>0.03</v>
      </c>
      <c r="BD26" s="550">
        <f>'приложение 10'!H94</f>
        <v>1</v>
      </c>
      <c r="BE26" s="550">
        <f>C26*BD26/100</f>
        <v>0.03</v>
      </c>
      <c r="BF26" s="550">
        <f>'приложение 10'!H95</f>
        <v>1</v>
      </c>
      <c r="BG26" s="550">
        <f>C26*BF26/100</f>
        <v>0.03</v>
      </c>
      <c r="BH26" s="550">
        <f>'приложение 10'!H96</f>
        <v>1</v>
      </c>
      <c r="BI26" s="550">
        <f>C26*BH26/100</f>
        <v>0.03</v>
      </c>
      <c r="BJ26" s="550">
        <f>'приложение 10'!H97</f>
        <v>1</v>
      </c>
      <c r="BK26" s="550">
        <f>C26*BJ26/100</f>
        <v>0.03</v>
      </c>
      <c r="BL26" s="494" t="s">
        <v>474</v>
      </c>
      <c r="BM26" s="543"/>
    </row>
    <row r="27" spans="1:65" ht="155.25" customHeight="1" x14ac:dyDescent="0.25">
      <c r="A27" s="360" t="s">
        <v>620</v>
      </c>
      <c r="B27" s="355" t="s">
        <v>5</v>
      </c>
      <c r="C27" s="356">
        <v>10</v>
      </c>
      <c r="D27" s="550">
        <f>'приложение 15'!O54</f>
        <v>0</v>
      </c>
      <c r="E27" s="550">
        <f t="shared" si="19"/>
        <v>0</v>
      </c>
      <c r="F27" s="550">
        <f>'приложение 15'!O55</f>
        <v>1</v>
      </c>
      <c r="G27" s="545">
        <f t="shared" si="0"/>
        <v>0.1</v>
      </c>
      <c r="H27" s="550">
        <f>'приложение 15'!O56</f>
        <v>1</v>
      </c>
      <c r="I27" s="550">
        <f>C27*H27/100</f>
        <v>0.1</v>
      </c>
      <c r="J27" s="550">
        <f>'приложение 15'!O57</f>
        <v>0</v>
      </c>
      <c r="K27" s="550">
        <f>C27*J27/100</f>
        <v>0</v>
      </c>
      <c r="L27" s="550">
        <f>'приложение 15'!O58</f>
        <v>1</v>
      </c>
      <c r="M27" s="550">
        <f>13.33*L27/100</f>
        <v>0.1333</v>
      </c>
      <c r="N27" s="550">
        <f>'приложение 15'!O59</f>
        <v>0</v>
      </c>
      <c r="O27" s="550">
        <f>15.38*N27/100</f>
        <v>0</v>
      </c>
      <c r="P27" s="550">
        <f>'приложение 15'!O60</f>
        <v>0</v>
      </c>
      <c r="Q27" s="550">
        <f>15.38*P27/100</f>
        <v>0</v>
      </c>
      <c r="R27" s="550">
        <f>'приложение 15'!O61</f>
        <v>0</v>
      </c>
      <c r="S27" s="550">
        <f>15.38*R27/100</f>
        <v>0</v>
      </c>
      <c r="T27" s="550">
        <f>'приложение 15'!O62</f>
        <v>0</v>
      </c>
      <c r="U27" s="550">
        <f>13.33*T27/100</f>
        <v>0</v>
      </c>
      <c r="V27" s="550">
        <f>'приложение 15'!O63</f>
        <v>0</v>
      </c>
      <c r="W27" s="550">
        <f>15.38*V27/100</f>
        <v>0</v>
      </c>
      <c r="X27" s="550">
        <f>'приложение 15'!O64</f>
        <v>0</v>
      </c>
      <c r="Y27" s="219">
        <f t="shared" si="17"/>
        <v>0</v>
      </c>
      <c r="Z27" s="550">
        <f>'приложение 15'!O65</f>
        <v>0</v>
      </c>
      <c r="AA27" s="550">
        <f>C27*Z27/100</f>
        <v>0</v>
      </c>
      <c r="AB27" s="550">
        <f>'приложение 15'!O66</f>
        <v>1</v>
      </c>
      <c r="AC27" s="550">
        <f>11.11*AB27/100</f>
        <v>0.11109999999999999</v>
      </c>
      <c r="AD27" s="550">
        <f>'приложение 15'!O67</f>
        <v>0</v>
      </c>
      <c r="AE27" s="550">
        <f>C27*AD27/100</f>
        <v>0</v>
      </c>
      <c r="AF27" s="550">
        <f>'приложение 15'!O68</f>
        <v>1</v>
      </c>
      <c r="AG27" s="550">
        <f>11.11*AF27/100</f>
        <v>0.11109999999999999</v>
      </c>
      <c r="AH27" s="550">
        <f>'приложение 15'!O69</f>
        <v>0</v>
      </c>
      <c r="AI27" s="550">
        <f>C27*AH27/100</f>
        <v>0</v>
      </c>
      <c r="AJ27" s="550">
        <f>'приложение 15'!O70</f>
        <v>0</v>
      </c>
      <c r="AK27" s="550">
        <f>C27*AJ27/100</f>
        <v>0</v>
      </c>
      <c r="AL27" s="550">
        <f>'приложение 15'!O71</f>
        <v>0</v>
      </c>
      <c r="AM27" s="219">
        <f t="shared" si="18"/>
        <v>0</v>
      </c>
      <c r="AN27" s="550">
        <f>'приложение 15'!O72</f>
        <v>1</v>
      </c>
      <c r="AO27" s="550">
        <f>C27*AN27/100</f>
        <v>0.1</v>
      </c>
      <c r="AP27" s="550">
        <f>'приложение 15'!O73</f>
        <v>0</v>
      </c>
      <c r="AQ27" s="550">
        <f>C27*AP27/100</f>
        <v>0</v>
      </c>
      <c r="AR27" s="550">
        <f>'приложение 15'!O74</f>
        <v>1</v>
      </c>
      <c r="AS27" s="550">
        <f>13.33*AR27/100</f>
        <v>0.1333</v>
      </c>
      <c r="AT27" s="550">
        <f>'приложение 15'!O75</f>
        <v>1</v>
      </c>
      <c r="AU27" s="550">
        <f>13.33*AT27/100</f>
        <v>0.1333</v>
      </c>
      <c r="AV27" s="550">
        <f>'приложение 15'!O76</f>
        <v>0</v>
      </c>
      <c r="AW27" s="550">
        <f>13.33*AV27/100</f>
        <v>0</v>
      </c>
      <c r="AX27" s="550">
        <f>'приложение 15'!O77</f>
        <v>1</v>
      </c>
      <c r="AY27" s="550">
        <f>C27*AX27/100</f>
        <v>0.1</v>
      </c>
      <c r="AZ27" s="550">
        <f>'приложение 15'!O78</f>
        <v>1</v>
      </c>
      <c r="BA27" s="550">
        <f>C27*AZ27/100</f>
        <v>0.1</v>
      </c>
      <c r="BB27" s="550">
        <f>'приложение 15'!O79</f>
        <v>1</v>
      </c>
      <c r="BC27" s="550">
        <f>C27*BB27/100</f>
        <v>0.1</v>
      </c>
      <c r="BD27" s="550">
        <f>'приложение 15'!O80</f>
        <v>1</v>
      </c>
      <c r="BE27" s="550">
        <f>C27*BD27/100</f>
        <v>0.1</v>
      </c>
      <c r="BF27" s="550">
        <f>'приложение 15'!O81</f>
        <v>0</v>
      </c>
      <c r="BG27" s="550">
        <f>C27*BF27/100</f>
        <v>0</v>
      </c>
      <c r="BH27" s="550">
        <f>'приложение 15'!O82</f>
        <v>1</v>
      </c>
      <c r="BI27" s="550">
        <f>C27*BH27/100</f>
        <v>0.1</v>
      </c>
      <c r="BJ27" s="550">
        <f>'приложение 15'!O83</f>
        <v>1</v>
      </c>
      <c r="BK27" s="550">
        <f>C27*BJ27/100</f>
        <v>0.1</v>
      </c>
      <c r="BL27" s="494" t="s">
        <v>621</v>
      </c>
      <c r="BM27" s="543"/>
    </row>
    <row r="28" spans="1:65" ht="28.15" customHeight="1" thickBot="1" x14ac:dyDescent="0.3">
      <c r="A28" s="626" t="s">
        <v>8</v>
      </c>
      <c r="B28" s="627"/>
      <c r="C28" s="390">
        <v>5</v>
      </c>
      <c r="D28" s="369"/>
      <c r="E28" s="370">
        <f>C28*(E30+E32+E29+E31)</f>
        <v>2.3249999999999997</v>
      </c>
      <c r="F28" s="369"/>
      <c r="G28" s="370">
        <f>C28*(G30+G32+G29+G31)</f>
        <v>0.75000000000000011</v>
      </c>
      <c r="H28" s="369"/>
      <c r="I28" s="370">
        <f>C28*(I30+I32+I29+I31)</f>
        <v>2.5</v>
      </c>
      <c r="J28" s="369"/>
      <c r="K28" s="370">
        <f>C28*(K30+K32+K29+K31)</f>
        <v>1.875</v>
      </c>
      <c r="L28" s="370"/>
      <c r="M28" s="370">
        <f>C28*(M29+M30+M31+M32)</f>
        <v>5</v>
      </c>
      <c r="N28" s="369"/>
      <c r="O28" s="370">
        <f>C28*(O30+O32+O29+O31)</f>
        <v>5</v>
      </c>
      <c r="P28" s="370"/>
      <c r="Q28" s="370">
        <f>C28*(Q29+Q30+Q31+Q32)</f>
        <v>1.3634999999999999</v>
      </c>
      <c r="R28" s="369"/>
      <c r="S28" s="370">
        <f>C28*(S30+S32+S29+S31)</f>
        <v>1.3634999999999999</v>
      </c>
      <c r="T28" s="369"/>
      <c r="U28" s="370">
        <f>C28*(U30+U32+U29+U31)</f>
        <v>0.45449999999999996</v>
      </c>
      <c r="V28" s="369"/>
      <c r="W28" s="370">
        <f>C28*(W30+W32+W29+W31)</f>
        <v>1.3634999999999999</v>
      </c>
      <c r="X28" s="371"/>
      <c r="Y28" s="370">
        <f>6.25*(Y30+Y32+Y29+Y31)</f>
        <v>6.25</v>
      </c>
      <c r="Z28" s="371"/>
      <c r="AA28" s="370">
        <f>C28*(AA30+AA32+AA29+AA31)</f>
        <v>0.75000000000000011</v>
      </c>
      <c r="AB28" s="371"/>
      <c r="AC28" s="370">
        <f>C28*(AC30+AC32+AC29+AC31)</f>
        <v>5</v>
      </c>
      <c r="AD28" s="371"/>
      <c r="AE28" s="370">
        <f>C28*(AE30+AE32+AE29+AE31)</f>
        <v>3.2</v>
      </c>
      <c r="AF28" s="371"/>
      <c r="AG28" s="370">
        <f>C28*(AG30+AG32+AG29+AG31)</f>
        <v>2.75</v>
      </c>
      <c r="AH28" s="371"/>
      <c r="AI28" s="370">
        <f>C28*(AI30+AI32+AI29+AI31)</f>
        <v>3.875</v>
      </c>
      <c r="AJ28" s="371"/>
      <c r="AK28" s="370">
        <f>C28*(AK30+AK32+AK29+AK31)</f>
        <v>3.0000000000000004</v>
      </c>
      <c r="AL28" s="371"/>
      <c r="AM28" s="370">
        <f>6.25*(AM30+AM32+AM29+AM31)</f>
        <v>6.25</v>
      </c>
      <c r="AN28" s="371"/>
      <c r="AO28" s="370">
        <f>C28*(AO30+AO32+AO29+AO31)</f>
        <v>0.75000000000000011</v>
      </c>
      <c r="AP28" s="371"/>
      <c r="AQ28" s="370">
        <f>6.25*(AQ30+AQ32+AQ29+AQ31)</f>
        <v>1.7187500000000002</v>
      </c>
      <c r="AR28" s="371"/>
      <c r="AS28" s="370">
        <f>6.25*(AS30+AS32+AS29+AS31)</f>
        <v>6.25</v>
      </c>
      <c r="AT28" s="371"/>
      <c r="AU28" s="370">
        <f>6.25*(AU30+AU32+AU29+AU31)</f>
        <v>0.56812499999999999</v>
      </c>
      <c r="AV28" s="371"/>
      <c r="AW28" s="370">
        <f>C28*(AW30+AW32+AW29+AW31)</f>
        <v>5</v>
      </c>
      <c r="AX28" s="371"/>
      <c r="AY28" s="370">
        <f>C28*(AY30+AY32+AY29+AY31)</f>
        <v>3.875</v>
      </c>
      <c r="AZ28" s="371"/>
      <c r="BA28" s="370">
        <f>C28*(BA30+BA32+BA29+BA31)</f>
        <v>3.875</v>
      </c>
      <c r="BB28" s="371"/>
      <c r="BC28" s="370">
        <f>C28*(BC30+BC32+BC29+BC31)</f>
        <v>1.875</v>
      </c>
      <c r="BD28" s="371"/>
      <c r="BE28" s="370">
        <f>C28*(BE30+BE32+BE29+BE31)</f>
        <v>3.875</v>
      </c>
      <c r="BF28" s="371"/>
      <c r="BG28" s="370">
        <f>C28*(BG30+BG32+BG29+BG31)</f>
        <v>3.875</v>
      </c>
      <c r="BH28" s="371"/>
      <c r="BI28" s="370">
        <f>C28*(BI30+BI32+BI29+BI31)</f>
        <v>1.375</v>
      </c>
      <c r="BJ28" s="371"/>
      <c r="BK28" s="370">
        <f>C28*(BK30+BK32+BK29+BK31)</f>
        <v>1.875</v>
      </c>
      <c r="BL28" s="373"/>
      <c r="BM28" s="543">
        <f>(E28+I28+O28+K28+G28+W28+U28+S28+Q28+M28)/10</f>
        <v>2.1994999999999996</v>
      </c>
    </row>
    <row r="29" spans="1:65" ht="216" customHeight="1" x14ac:dyDescent="0.25">
      <c r="A29" s="544" t="s">
        <v>43</v>
      </c>
      <c r="B29" s="361" t="s">
        <v>6</v>
      </c>
      <c r="C29" s="388">
        <v>5</v>
      </c>
      <c r="D29" s="545">
        <f>'свод по прилож. 1,2'!E7</f>
        <v>1</v>
      </c>
      <c r="E29" s="545">
        <f>C29*D29/100</f>
        <v>0.05</v>
      </c>
      <c r="F29" s="545">
        <f>'свод по прилож. 1,2'!F7</f>
        <v>1</v>
      </c>
      <c r="G29" s="545">
        <f>C29*F29/100</f>
        <v>0.05</v>
      </c>
      <c r="H29" s="545">
        <f>'свод по прилож. 1,2'!G7</f>
        <v>1</v>
      </c>
      <c r="I29" s="545">
        <f>C29*H29/100</f>
        <v>0.05</v>
      </c>
      <c r="J29" s="545">
        <f>'свод по прилож. 1,2'!H7</f>
        <v>1</v>
      </c>
      <c r="K29" s="545">
        <f>C29*J29/100</f>
        <v>0.05</v>
      </c>
      <c r="L29" s="545" t="str">
        <f>'свод по прилож. 1,2'!I7</f>
        <v>*&gt;</v>
      </c>
      <c r="M29" s="545"/>
      <c r="N29" s="545">
        <f>'свод по прилож. 1,2'!J7</f>
        <v>1</v>
      </c>
      <c r="O29" s="545">
        <f>9.09*N29/100</f>
        <v>9.0899999999999995E-2</v>
      </c>
      <c r="P29" s="545">
        <f>'свод по прилож. 1,2'!K7</f>
        <v>1</v>
      </c>
      <c r="Q29" s="545">
        <f>9.09*P29/100</f>
        <v>9.0899999999999995E-2</v>
      </c>
      <c r="R29" s="545">
        <f>'свод по прилож. 1,2'!L7</f>
        <v>1</v>
      </c>
      <c r="S29" s="545">
        <f>9.09*R29/100</f>
        <v>9.0899999999999995E-2</v>
      </c>
      <c r="T29" s="545">
        <f>'свод по прилож. 1,2'!M7</f>
        <v>1</v>
      </c>
      <c r="U29" s="545">
        <f>9.09*T29/100</f>
        <v>9.0899999999999995E-2</v>
      </c>
      <c r="V29" s="545">
        <f>'свод по прилож. 1,2'!N7</f>
        <v>1</v>
      </c>
      <c r="W29" s="545">
        <f>9.09*V29/100</f>
        <v>9.0899999999999995E-2</v>
      </c>
      <c r="X29" s="545">
        <f>'свод по прилож. 1,2'!O7</f>
        <v>1</v>
      </c>
      <c r="Y29" s="545">
        <f>C29*X29/100</f>
        <v>0.05</v>
      </c>
      <c r="Z29" s="545">
        <f>'свод по прилож. 1,2'!P7</f>
        <v>1</v>
      </c>
      <c r="AA29" s="545">
        <f>C29*Z29/100</f>
        <v>0.05</v>
      </c>
      <c r="AB29" s="545">
        <f>'свод по прилож. 1,2'!Q7</f>
        <v>1</v>
      </c>
      <c r="AC29" s="545">
        <f>C29*AB29/100</f>
        <v>0.05</v>
      </c>
      <c r="AD29" s="545">
        <f>'свод по прилож. 1,2'!R7</f>
        <v>1</v>
      </c>
      <c r="AE29" s="545">
        <f>C29*AD29/100</f>
        <v>0.05</v>
      </c>
      <c r="AF29" s="545">
        <f>'свод по прилож. 1,2'!S7</f>
        <v>1</v>
      </c>
      <c r="AG29" s="545">
        <f>C29*AF29/100</f>
        <v>0.05</v>
      </c>
      <c r="AH29" s="545">
        <f>'свод по прилож. 1,2'!T7</f>
        <v>1</v>
      </c>
      <c r="AI29" s="545">
        <f>C29*AH29/100</f>
        <v>0.05</v>
      </c>
      <c r="AJ29" s="545">
        <f>'свод по прилож. 1,2'!U7</f>
        <v>1</v>
      </c>
      <c r="AK29" s="545">
        <f>C29*AJ29/100</f>
        <v>0.05</v>
      </c>
      <c r="AL29" s="545">
        <f>'свод по прилож. 1,2'!V7</f>
        <v>1</v>
      </c>
      <c r="AM29" s="545">
        <f>C29*AL29/100</f>
        <v>0.05</v>
      </c>
      <c r="AN29" s="545">
        <f>'свод по прилож. 1,2'!W7</f>
        <v>1</v>
      </c>
      <c r="AO29" s="545">
        <f>C29*AN29/100</f>
        <v>0.05</v>
      </c>
      <c r="AP29" s="545">
        <f>'свод по прилож. 1,2'!X7</f>
        <v>1</v>
      </c>
      <c r="AQ29" s="545">
        <f>C29*AP29/100</f>
        <v>0.05</v>
      </c>
      <c r="AR29" s="545" t="str">
        <f>'свод по прилож. 1,2'!Y7</f>
        <v>*&gt;</v>
      </c>
      <c r="AS29" s="545"/>
      <c r="AT29" s="545">
        <f>'свод по прилож. 1,2'!Z7</f>
        <v>1</v>
      </c>
      <c r="AU29" s="545">
        <f>9.09*AT29/100</f>
        <v>9.0899999999999995E-2</v>
      </c>
      <c r="AV29" s="545">
        <f>'свод по прилож. 1,2'!AA7</f>
        <v>1</v>
      </c>
      <c r="AW29" s="545">
        <f>9.09*AV29/100</f>
        <v>9.0899999999999995E-2</v>
      </c>
      <c r="AX29" s="545">
        <f>'свод по прилож. 1,2'!AB7</f>
        <v>1</v>
      </c>
      <c r="AY29" s="545">
        <f>C29*AX29/100</f>
        <v>0.05</v>
      </c>
      <c r="AZ29" s="545">
        <f>'свод по прилож. 1,2'!AC7</f>
        <v>1</v>
      </c>
      <c r="BA29" s="545">
        <f>C29*AZ29/100</f>
        <v>0.05</v>
      </c>
      <c r="BB29" s="545">
        <f>'свод по прилож. 1,2'!AD7</f>
        <v>1</v>
      </c>
      <c r="BC29" s="545">
        <f>C29*BB29/100</f>
        <v>0.05</v>
      </c>
      <c r="BD29" s="545">
        <f>'свод по прилож. 1,2'!AE7</f>
        <v>1</v>
      </c>
      <c r="BE29" s="545">
        <f>C29*BD29/100</f>
        <v>0.05</v>
      </c>
      <c r="BF29" s="545">
        <f>'свод по прилож. 1,2'!AF7</f>
        <v>1</v>
      </c>
      <c r="BG29" s="545">
        <f>C29*BF29/100</f>
        <v>0.05</v>
      </c>
      <c r="BH29" s="545">
        <f>'свод по прилож. 1,2'!AG7</f>
        <v>1</v>
      </c>
      <c r="BI29" s="545">
        <f>C29*BH29/100</f>
        <v>0.05</v>
      </c>
      <c r="BJ29" s="545">
        <f>'свод по прилож. 1,2'!AH7</f>
        <v>1</v>
      </c>
      <c r="BK29" s="545">
        <f>C29*BJ29/100</f>
        <v>0.05</v>
      </c>
      <c r="BL29" s="368" t="s">
        <v>473</v>
      </c>
      <c r="BM29" s="543"/>
    </row>
    <row r="30" spans="1:65" ht="270" customHeight="1" x14ac:dyDescent="0.25">
      <c r="A30" s="544" t="s">
        <v>44</v>
      </c>
      <c r="B30" s="361" t="s">
        <v>5</v>
      </c>
      <c r="C30" s="388">
        <v>40</v>
      </c>
      <c r="D30" s="545">
        <f>'приложение 9'!G63</f>
        <v>0</v>
      </c>
      <c r="E30" s="545">
        <f>C30*D30/100</f>
        <v>0</v>
      </c>
      <c r="F30" s="545">
        <f>'приложение 9'!G64</f>
        <v>0</v>
      </c>
      <c r="G30" s="545">
        <f>C30*F30/100</f>
        <v>0</v>
      </c>
      <c r="H30" s="545">
        <f>'приложение 9'!G65</f>
        <v>0</v>
      </c>
      <c r="I30" s="545">
        <f>C30*H30/100</f>
        <v>0</v>
      </c>
      <c r="J30" s="545">
        <f>'приложение 9'!G66</f>
        <v>0</v>
      </c>
      <c r="K30" s="545">
        <f>C30*J30/100</f>
        <v>0</v>
      </c>
      <c r="L30" s="545" t="str">
        <f>'приложение 9'!G67</f>
        <v>*&gt;</v>
      </c>
      <c r="M30" s="545"/>
      <c r="N30" s="545">
        <f>'приложение 9'!G68</f>
        <v>1</v>
      </c>
      <c r="O30" s="545">
        <f>72.73*N30/100</f>
        <v>0.72730000000000006</v>
      </c>
      <c r="P30" s="545">
        <f>'приложение 9'!G69</f>
        <v>0</v>
      </c>
      <c r="Q30" s="545">
        <f>72.73*P30/100</f>
        <v>0</v>
      </c>
      <c r="R30" s="545">
        <f>'приложение 9'!G70</f>
        <v>0</v>
      </c>
      <c r="S30" s="545">
        <f>72.73*R30/100</f>
        <v>0</v>
      </c>
      <c r="T30" s="545">
        <f>'приложение 9'!G71</f>
        <v>0</v>
      </c>
      <c r="U30" s="545">
        <f>72.73*T30/100</f>
        <v>0</v>
      </c>
      <c r="V30" s="545">
        <f>'приложение 9'!G72</f>
        <v>0</v>
      </c>
      <c r="W30" s="545">
        <f>72.73*V30/100</f>
        <v>0</v>
      </c>
      <c r="X30" s="545">
        <f>'приложение 9'!G73</f>
        <v>1</v>
      </c>
      <c r="Y30" s="545">
        <f>C30*X30/100</f>
        <v>0.4</v>
      </c>
      <c r="Z30" s="545">
        <f>'приложение 9'!G74</f>
        <v>0</v>
      </c>
      <c r="AA30" s="545">
        <f>C30*Z30/100</f>
        <v>0</v>
      </c>
      <c r="AB30" s="545">
        <f>'приложение 9'!G75</f>
        <v>1</v>
      </c>
      <c r="AC30" s="545">
        <f>C30*AB30/100</f>
        <v>0.4</v>
      </c>
      <c r="AD30" s="545">
        <f>'приложение 9'!G76</f>
        <v>1</v>
      </c>
      <c r="AE30" s="545">
        <f>C30*AD30/100</f>
        <v>0.4</v>
      </c>
      <c r="AF30" s="545">
        <f>'приложение 9'!G77</f>
        <v>1</v>
      </c>
      <c r="AG30" s="545">
        <f>C30*AF30/100</f>
        <v>0.4</v>
      </c>
      <c r="AH30" s="545">
        <f>'приложение 9'!G78</f>
        <v>1</v>
      </c>
      <c r="AI30" s="545">
        <f>C30*AH30/100</f>
        <v>0.4</v>
      </c>
      <c r="AJ30" s="545">
        <f>'приложение 9'!G79</f>
        <v>0</v>
      </c>
      <c r="AK30" s="545">
        <f>C30*AJ30/100</f>
        <v>0</v>
      </c>
      <c r="AL30" s="545">
        <f>'приложение 9'!G80</f>
        <v>1</v>
      </c>
      <c r="AM30" s="545">
        <f>C30*AL30/100</f>
        <v>0.4</v>
      </c>
      <c r="AN30" s="545">
        <f>'приложение 9'!G81</f>
        <v>0</v>
      </c>
      <c r="AO30" s="545">
        <f>C30*AN30/100</f>
        <v>0</v>
      </c>
      <c r="AP30" s="545">
        <f>'приложение 9'!G82</f>
        <v>0</v>
      </c>
      <c r="AQ30" s="545">
        <f>C30*AP30/100</f>
        <v>0</v>
      </c>
      <c r="AR30" s="545" t="str">
        <f>'приложение 9'!G83</f>
        <v>*&gt;</v>
      </c>
      <c r="AS30" s="545"/>
      <c r="AT30" s="545">
        <f>'приложение 9'!G84</f>
        <v>0</v>
      </c>
      <c r="AU30" s="545">
        <f>72.73*AT30/100</f>
        <v>0</v>
      </c>
      <c r="AV30" s="545">
        <f>'приложение 9'!G85</f>
        <v>1</v>
      </c>
      <c r="AW30" s="545">
        <f>72.73*AV30/100</f>
        <v>0.72730000000000006</v>
      </c>
      <c r="AX30" s="545">
        <f>'приложение 9'!G86</f>
        <v>1</v>
      </c>
      <c r="AY30" s="545">
        <f>C30*AX30/100</f>
        <v>0.4</v>
      </c>
      <c r="AZ30" s="545">
        <f>'приложение 9'!G87</f>
        <v>1</v>
      </c>
      <c r="BA30" s="545">
        <f>C30*AZ30/100</f>
        <v>0.4</v>
      </c>
      <c r="BB30" s="545">
        <f>'приложение 9'!G88</f>
        <v>0</v>
      </c>
      <c r="BC30" s="545">
        <f>C30*BB30/100</f>
        <v>0</v>
      </c>
      <c r="BD30" s="545">
        <f>'приложение 9'!G89</f>
        <v>1</v>
      </c>
      <c r="BE30" s="545">
        <f>C30*BD30/100</f>
        <v>0.4</v>
      </c>
      <c r="BF30" s="545">
        <f>'приложение 9'!G90</f>
        <v>1</v>
      </c>
      <c r="BG30" s="545">
        <f>C30*BF30/100</f>
        <v>0.4</v>
      </c>
      <c r="BH30" s="545">
        <f>'приложение 9'!G91</f>
        <v>0</v>
      </c>
      <c r="BI30" s="545">
        <f>C30*BH30/100</f>
        <v>0</v>
      </c>
      <c r="BJ30" s="545">
        <f>'приложение 9'!G92</f>
        <v>0</v>
      </c>
      <c r="BK30" s="545">
        <f>C30*BJ30/100</f>
        <v>0</v>
      </c>
      <c r="BL30" s="368" t="s">
        <v>475</v>
      </c>
      <c r="BM30" s="543">
        <f>(E30+I30+O30+K30+G30+W30+U30+S30+Q30+M30)/10</f>
        <v>7.2730000000000003E-2</v>
      </c>
    </row>
    <row r="31" spans="1:65" ht="186" customHeight="1" x14ac:dyDescent="0.25">
      <c r="A31" s="551" t="s">
        <v>45</v>
      </c>
      <c r="B31" s="362" t="s">
        <v>5</v>
      </c>
      <c r="C31" s="391">
        <v>45</v>
      </c>
      <c r="D31" s="548">
        <f>'сведения о КЗ, ДЗ'!C15</f>
        <v>0.7</v>
      </c>
      <c r="E31" s="545">
        <f>C31*D31/100</f>
        <v>0.31499999999999995</v>
      </c>
      <c r="F31" s="548">
        <f>'сведения о КЗ, ДЗ'!D15</f>
        <v>0</v>
      </c>
      <c r="G31" s="545">
        <f>C31*F31/100</f>
        <v>0</v>
      </c>
      <c r="H31" s="548">
        <f>'сведения о КЗ, ДЗ'!E15</f>
        <v>1</v>
      </c>
      <c r="I31" s="545">
        <f>C31*H31/100</f>
        <v>0.45</v>
      </c>
      <c r="J31" s="548">
        <f>'сведения о КЗ, ДЗ'!F15</f>
        <v>0.5</v>
      </c>
      <c r="K31" s="545">
        <f>C31*J31/100</f>
        <v>0.22500000000000001</v>
      </c>
      <c r="L31" s="548" t="str">
        <f>'сведения о КЗ, ДЗ'!G15</f>
        <v>******</v>
      </c>
      <c r="M31" s="548"/>
      <c r="N31" s="548" t="str">
        <f>'сведения о КЗ, ДЗ'!H15</f>
        <v>******</v>
      </c>
      <c r="O31" s="545"/>
      <c r="P31" s="548" t="str">
        <f>'сведения о КЗ, ДЗ'!I15</f>
        <v>******</v>
      </c>
      <c r="Q31" s="548"/>
      <c r="R31" s="548" t="str">
        <f>'сведения о КЗ, ДЗ'!J15</f>
        <v>******</v>
      </c>
      <c r="S31" s="545"/>
      <c r="T31" s="548" t="str">
        <f>'сведения о КЗ, ДЗ'!K15</f>
        <v>******</v>
      </c>
      <c r="U31" s="545"/>
      <c r="V31" s="548" t="str">
        <f>'сведения о КЗ, ДЗ'!L15</f>
        <v>******</v>
      </c>
      <c r="W31" s="545"/>
      <c r="X31" s="548">
        <f>'сведения о КЗ, ДЗ'!M15</f>
        <v>1</v>
      </c>
      <c r="Y31" s="545">
        <f>C31*X31/100</f>
        <v>0.45</v>
      </c>
      <c r="Z31" s="548">
        <f>'сведения о КЗ, ДЗ'!N15</f>
        <v>0</v>
      </c>
      <c r="AA31" s="545">
        <f>C31*Z31/100</f>
        <v>0</v>
      </c>
      <c r="AB31" s="548">
        <f>'сведения о КЗ, ДЗ'!O15</f>
        <v>1</v>
      </c>
      <c r="AC31" s="545">
        <f>C31*AB31/100</f>
        <v>0.45</v>
      </c>
      <c r="AD31" s="548">
        <f>'сведения о КЗ, ДЗ'!P15</f>
        <v>0.2</v>
      </c>
      <c r="AE31" s="545">
        <f>C31*AD31/100</f>
        <v>0.09</v>
      </c>
      <c r="AF31" s="548">
        <f>'сведения о КЗ, ДЗ'!Q15</f>
        <v>0</v>
      </c>
      <c r="AG31" s="545">
        <f>C31*AF31/100</f>
        <v>0</v>
      </c>
      <c r="AH31" s="548">
        <f>'сведения о КЗ, ДЗ'!R15</f>
        <v>0.5</v>
      </c>
      <c r="AI31" s="545">
        <f>C31*AH31/100</f>
        <v>0.22500000000000001</v>
      </c>
      <c r="AJ31" s="548">
        <f>'сведения о КЗ, ДЗ'!S15</f>
        <v>1</v>
      </c>
      <c r="AK31" s="545">
        <f>C31*AJ31/100</f>
        <v>0.45</v>
      </c>
      <c r="AL31" s="548">
        <f>'сведения о КЗ, ДЗ'!T15</f>
        <v>1</v>
      </c>
      <c r="AM31" s="545">
        <f>C31*AL31/100</f>
        <v>0.45</v>
      </c>
      <c r="AN31" s="548">
        <f>'сведения о КЗ, ДЗ'!U15</f>
        <v>0</v>
      </c>
      <c r="AO31" s="545">
        <f>C31*AN31/100</f>
        <v>0</v>
      </c>
      <c r="AP31" s="548">
        <f>'сведения о КЗ, ДЗ'!V15</f>
        <v>0.5</v>
      </c>
      <c r="AQ31" s="545">
        <f>C31*AP31/100</f>
        <v>0.22500000000000001</v>
      </c>
      <c r="AR31" s="548" t="str">
        <f>'сведения о КЗ, ДЗ'!W15</f>
        <v>******</v>
      </c>
      <c r="AS31" s="545"/>
      <c r="AT31" s="548" t="str">
        <f>'сведения о КЗ, ДЗ'!X15</f>
        <v>******</v>
      </c>
      <c r="AU31" s="545"/>
      <c r="AV31" s="548" t="str">
        <f>'сведения о КЗ, ДЗ'!Y15</f>
        <v>******</v>
      </c>
      <c r="AW31" s="545"/>
      <c r="AX31" s="548">
        <f>'сведения о КЗ, ДЗ'!Z15</f>
        <v>0.5</v>
      </c>
      <c r="AY31" s="545">
        <f>C31*AX31/100</f>
        <v>0.22500000000000001</v>
      </c>
      <c r="AZ31" s="548">
        <f>'сведения о КЗ, ДЗ'!AA15</f>
        <v>0.5</v>
      </c>
      <c r="BA31" s="545">
        <f>C31*AZ31/100</f>
        <v>0.22500000000000001</v>
      </c>
      <c r="BB31" s="548">
        <f>'сведения о КЗ, ДЗ'!AB15</f>
        <v>0.5</v>
      </c>
      <c r="BC31" s="545">
        <f>C31*BB31/100</f>
        <v>0.22500000000000001</v>
      </c>
      <c r="BD31" s="548">
        <f>'сведения о КЗ, ДЗ'!AC15</f>
        <v>0.5</v>
      </c>
      <c r="BE31" s="545">
        <f>C31*BD31/100</f>
        <v>0.22500000000000001</v>
      </c>
      <c r="BF31" s="548">
        <f>'сведения о КЗ, ДЗ'!AD15</f>
        <v>0.5</v>
      </c>
      <c r="BG31" s="545">
        <f>C31*BF31/100</f>
        <v>0.22500000000000001</v>
      </c>
      <c r="BH31" s="548">
        <f>'сведения о КЗ, ДЗ'!AE15</f>
        <v>0.5</v>
      </c>
      <c r="BI31" s="545">
        <f>C31*BH31/100</f>
        <v>0.22500000000000001</v>
      </c>
      <c r="BJ31" s="548">
        <f>'сведения о КЗ, ДЗ'!AF15</f>
        <v>0.5</v>
      </c>
      <c r="BK31" s="545">
        <f>C31*BJ31/100</f>
        <v>0.22500000000000001</v>
      </c>
      <c r="BL31" s="496" t="s">
        <v>672</v>
      </c>
      <c r="BM31" s="543"/>
    </row>
    <row r="32" spans="1:65" ht="97.9" customHeight="1" thickBot="1" x14ac:dyDescent="0.3">
      <c r="A32" s="552" t="s">
        <v>519</v>
      </c>
      <c r="B32" s="363" t="s">
        <v>181</v>
      </c>
      <c r="C32" s="389">
        <v>10</v>
      </c>
      <c r="D32" s="547">
        <f>'приложение 9'!I63</f>
        <v>1</v>
      </c>
      <c r="E32" s="548">
        <f>C32*D32/100</f>
        <v>0.1</v>
      </c>
      <c r="F32" s="547">
        <f>'приложение 9'!I64</f>
        <v>1</v>
      </c>
      <c r="G32" s="548">
        <f>C32*F32/100</f>
        <v>0.1</v>
      </c>
      <c r="H32" s="547">
        <f>'приложение 9'!I65</f>
        <v>0</v>
      </c>
      <c r="I32" s="548">
        <f>C32*H32/100</f>
        <v>0</v>
      </c>
      <c r="J32" s="547">
        <f>'приложение 9'!I66</f>
        <v>1</v>
      </c>
      <c r="K32" s="548">
        <f>C32*J32/100</f>
        <v>0.1</v>
      </c>
      <c r="L32" s="547">
        <f>'приложение 9'!I67</f>
        <v>1</v>
      </c>
      <c r="M32" s="547">
        <f>100*L32/100</f>
        <v>1</v>
      </c>
      <c r="N32" s="547">
        <f>'приложение 9'!I68</f>
        <v>1</v>
      </c>
      <c r="O32" s="548">
        <f>18.18*N32/100</f>
        <v>0.18179999999999999</v>
      </c>
      <c r="P32" s="547">
        <f>'приложение 9'!I69</f>
        <v>1</v>
      </c>
      <c r="Q32" s="547">
        <f>18.18*P32/100</f>
        <v>0.18179999999999999</v>
      </c>
      <c r="R32" s="547">
        <f>'приложение 9'!I70</f>
        <v>1</v>
      </c>
      <c r="S32" s="547">
        <f>18.18*R32/100</f>
        <v>0.18179999999999999</v>
      </c>
      <c r="T32" s="547">
        <f>'приложение 9'!I71</f>
        <v>0</v>
      </c>
      <c r="U32" s="548">
        <f>18.18*T32/100</f>
        <v>0</v>
      </c>
      <c r="V32" s="547">
        <f>'приложение 9'!I72</f>
        <v>1</v>
      </c>
      <c r="W32" s="547">
        <f>18.18*V32/100</f>
        <v>0.18179999999999999</v>
      </c>
      <c r="X32" s="547">
        <f>'приложение 9'!I73</f>
        <v>1</v>
      </c>
      <c r="Y32" s="547">
        <f>C32*X32/100</f>
        <v>0.1</v>
      </c>
      <c r="Z32" s="547">
        <f>'приложение 9'!I74</f>
        <v>1</v>
      </c>
      <c r="AA32" s="547">
        <f>C32*Z32/100</f>
        <v>0.1</v>
      </c>
      <c r="AB32" s="547">
        <f>'приложение 9'!I75</f>
        <v>1</v>
      </c>
      <c r="AC32" s="547">
        <f>C32*AB32/100</f>
        <v>0.1</v>
      </c>
      <c r="AD32" s="547">
        <f>'приложение 9'!I76</f>
        <v>1</v>
      </c>
      <c r="AE32" s="547">
        <f>C32*AD32/100</f>
        <v>0.1</v>
      </c>
      <c r="AF32" s="547">
        <f>'приложение 9'!I77</f>
        <v>1</v>
      </c>
      <c r="AG32" s="547">
        <f>C32*AF32/100</f>
        <v>0.1</v>
      </c>
      <c r="AH32" s="547">
        <f>'приложение 9'!I78</f>
        <v>1</v>
      </c>
      <c r="AI32" s="547">
        <f>C32*AH32/100</f>
        <v>0.1</v>
      </c>
      <c r="AJ32" s="547">
        <f>'приложение 9'!I79</f>
        <v>1</v>
      </c>
      <c r="AK32" s="547">
        <f>C32*AJ32/100</f>
        <v>0.1</v>
      </c>
      <c r="AL32" s="547">
        <f>'приложение 9'!I80</f>
        <v>1</v>
      </c>
      <c r="AM32" s="547">
        <f>C32*AL32/100</f>
        <v>0.1</v>
      </c>
      <c r="AN32" s="547">
        <f>'приложение 9'!I81</f>
        <v>1</v>
      </c>
      <c r="AO32" s="547">
        <f>C32*AN32/100</f>
        <v>0.1</v>
      </c>
      <c r="AP32" s="547">
        <f>'приложение 9'!I82</f>
        <v>0</v>
      </c>
      <c r="AQ32" s="547">
        <f>C32*AP32/100</f>
        <v>0</v>
      </c>
      <c r="AR32" s="547">
        <f>'приложение 9'!I83</f>
        <v>1</v>
      </c>
      <c r="AS32" s="547">
        <f>100*AR32/100</f>
        <v>1</v>
      </c>
      <c r="AT32" s="547">
        <f>'приложение 9'!I84</f>
        <v>0</v>
      </c>
      <c r="AU32" s="547">
        <f>18.18*AT32/100</f>
        <v>0</v>
      </c>
      <c r="AV32" s="547">
        <f>'приложение 9'!I85</f>
        <v>1</v>
      </c>
      <c r="AW32" s="547">
        <f>18.18*AV32/100</f>
        <v>0.18179999999999999</v>
      </c>
      <c r="AX32" s="547">
        <f>'приложение 9'!I86</f>
        <v>1</v>
      </c>
      <c r="AY32" s="547">
        <f>C32*AX32/100</f>
        <v>0.1</v>
      </c>
      <c r="AZ32" s="547">
        <f>'приложение 9'!I87</f>
        <v>1</v>
      </c>
      <c r="BA32" s="547">
        <f>C32*AZ32/100</f>
        <v>0.1</v>
      </c>
      <c r="BB32" s="547">
        <f>'приложение 9'!I88</f>
        <v>1</v>
      </c>
      <c r="BC32" s="547">
        <f>C32*BB32/100</f>
        <v>0.1</v>
      </c>
      <c r="BD32" s="547">
        <f>'приложение 9'!I89</f>
        <v>1</v>
      </c>
      <c r="BE32" s="547">
        <f>C32*BD32/100</f>
        <v>0.1</v>
      </c>
      <c r="BF32" s="547">
        <f>'приложение 9'!I90</f>
        <v>1</v>
      </c>
      <c r="BG32" s="547">
        <f>C32*BF32/100</f>
        <v>0.1</v>
      </c>
      <c r="BH32" s="547">
        <f>'приложение 9'!I91</f>
        <v>0</v>
      </c>
      <c r="BI32" s="547">
        <f>C32*BH32/100</f>
        <v>0</v>
      </c>
      <c r="BJ32" s="547">
        <f>'приложение 9'!I92</f>
        <v>1</v>
      </c>
      <c r="BK32" s="547">
        <f>C32*BJ32/100</f>
        <v>0.1</v>
      </c>
      <c r="BL32" s="495" t="s">
        <v>476</v>
      </c>
      <c r="BM32" s="543"/>
    </row>
    <row r="33" spans="1:65" ht="42.6" customHeight="1" thickBot="1" x14ac:dyDescent="0.3">
      <c r="A33" s="631" t="s">
        <v>91</v>
      </c>
      <c r="B33" s="632"/>
      <c r="C33" s="392">
        <v>10</v>
      </c>
      <c r="D33" s="374"/>
      <c r="E33" s="374">
        <f>C33*(E34+E35)</f>
        <v>2</v>
      </c>
      <c r="F33" s="374"/>
      <c r="G33" s="374">
        <f>C33*(G34+G35)</f>
        <v>7.3333333333333339</v>
      </c>
      <c r="H33" s="374"/>
      <c r="I33" s="374">
        <f>C33*(I34+I35)</f>
        <v>9.2558139534883725</v>
      </c>
      <c r="J33" s="374"/>
      <c r="K33" s="374">
        <f>C33*(K34+K35)</f>
        <v>2</v>
      </c>
      <c r="L33" s="374"/>
      <c r="M33" s="374">
        <f>C33*(M35)</f>
        <v>10</v>
      </c>
      <c r="N33" s="376"/>
      <c r="O33" s="374">
        <f>C33*(O35)</f>
        <v>10</v>
      </c>
      <c r="P33" s="374"/>
      <c r="Q33" s="374">
        <f>C33*(Q35)</f>
        <v>10</v>
      </c>
      <c r="R33" s="374"/>
      <c r="S33" s="374">
        <f>C33*(S35)</f>
        <v>10</v>
      </c>
      <c r="T33" s="374"/>
      <c r="U33" s="374">
        <f>C33*(U35)</f>
        <v>10</v>
      </c>
      <c r="V33" s="374"/>
      <c r="W33" s="374">
        <f>C33*(W35)</f>
        <v>10</v>
      </c>
      <c r="X33" s="331"/>
      <c r="Y33" s="374">
        <f>12.5*(Y34+Y35)</f>
        <v>2.5</v>
      </c>
      <c r="Z33" s="331"/>
      <c r="AA33" s="374">
        <f>C33*(AA34+AA35)</f>
        <v>2</v>
      </c>
      <c r="AB33" s="331"/>
      <c r="AC33" s="374">
        <f>C33*(AC34+AC35)</f>
        <v>9.2727272727272734</v>
      </c>
      <c r="AD33" s="331"/>
      <c r="AE33" s="374">
        <f>C33*(AE34+AE35)</f>
        <v>2</v>
      </c>
      <c r="AF33" s="331"/>
      <c r="AG33" s="374">
        <f>C33*(AG34+AG35)</f>
        <v>9.1111111111111125</v>
      </c>
      <c r="AH33" s="374"/>
      <c r="AI33" s="374">
        <f>C33*(AI34+AI35)</f>
        <v>2</v>
      </c>
      <c r="AJ33" s="331"/>
      <c r="AK33" s="374">
        <f>C33*(AK34+AK35)</f>
        <v>2</v>
      </c>
      <c r="AL33" s="331"/>
      <c r="AM33" s="374">
        <f>12.5*(AM34+AM35)</f>
        <v>11.5625</v>
      </c>
      <c r="AN33" s="331"/>
      <c r="AO33" s="374">
        <f>C33*(AO34+AO35)</f>
        <v>9.4782608695652186</v>
      </c>
      <c r="AP33" s="331"/>
      <c r="AQ33" s="374">
        <f>12.5*(AQ34+AQ35)</f>
        <v>2.5</v>
      </c>
      <c r="AR33" s="331"/>
      <c r="AS33" s="374">
        <f>12.5*(AS35)</f>
        <v>12.5</v>
      </c>
      <c r="AT33" s="331"/>
      <c r="AU33" s="374">
        <f>12.5*(AU35)</f>
        <v>12.5</v>
      </c>
      <c r="AV33" s="331"/>
      <c r="AW33" s="374">
        <f>C33*(AW35)</f>
        <v>10</v>
      </c>
      <c r="AX33" s="331"/>
      <c r="AY33" s="374">
        <f>C33*(AY34+AY35)</f>
        <v>8.8837209302325562</v>
      </c>
      <c r="AZ33" s="331"/>
      <c r="BA33" s="374">
        <f>C33*(BA34+BA35)</f>
        <v>8.8837209302325562</v>
      </c>
      <c r="BB33" s="331"/>
      <c r="BC33" s="374">
        <f>C33*(BC34+BC35)</f>
        <v>2</v>
      </c>
      <c r="BD33" s="331"/>
      <c r="BE33" s="374">
        <f>C33*(BE34+BE35)</f>
        <v>2</v>
      </c>
      <c r="BF33" s="331"/>
      <c r="BG33" s="374">
        <f>C33*(BG34+BG35)</f>
        <v>2</v>
      </c>
      <c r="BH33" s="331"/>
      <c r="BI33" s="374">
        <f>C33*(BI34+BI35)</f>
        <v>8.1818181818181817</v>
      </c>
      <c r="BJ33" s="331"/>
      <c r="BK33" s="374">
        <f>C33*(BK34+BK35)</f>
        <v>2</v>
      </c>
      <c r="BL33" s="375"/>
      <c r="BM33" s="543">
        <f t="shared" ref="BM33:BM38" si="20">(E33+I33+O33+K33+G33+W33+U33+S33+Q33+M33)/10</f>
        <v>8.0589147286821721</v>
      </c>
    </row>
    <row r="34" spans="1:65" ht="247.5" customHeight="1" x14ac:dyDescent="0.25">
      <c r="A34" s="553" t="s">
        <v>243</v>
      </c>
      <c r="B34" s="355" t="s">
        <v>5</v>
      </c>
      <c r="C34" s="356">
        <v>80</v>
      </c>
      <c r="D34" s="219">
        <f>'приложение 6'!H59</f>
        <v>0</v>
      </c>
      <c r="E34" s="545">
        <f>C34*D34/100</f>
        <v>0</v>
      </c>
      <c r="F34" s="219">
        <f>'приложение 6'!H60</f>
        <v>0.66666666666666674</v>
      </c>
      <c r="G34" s="545">
        <f>C34*F34/100</f>
        <v>0.53333333333333344</v>
      </c>
      <c r="H34" s="219">
        <f>'приложение 6'!H61</f>
        <v>0.90697674418604657</v>
      </c>
      <c r="I34" s="545">
        <f>C34*H34/100</f>
        <v>0.72558139534883725</v>
      </c>
      <c r="J34" s="219">
        <f>'приложение 6'!H62</f>
        <v>0</v>
      </c>
      <c r="K34" s="545">
        <f>C34*J34/100</f>
        <v>0</v>
      </c>
      <c r="L34" s="219" t="str">
        <f>'приложение 6'!H63</f>
        <v>******</v>
      </c>
      <c r="M34" s="545"/>
      <c r="N34" s="219" t="str">
        <f>'приложение 6'!H64</f>
        <v>******</v>
      </c>
      <c r="O34" s="219"/>
      <c r="P34" s="219" t="str">
        <f>'приложение 6'!H65</f>
        <v>******</v>
      </c>
      <c r="Q34" s="545"/>
      <c r="R34" s="219" t="str">
        <f>'приложение 6'!H66</f>
        <v>******</v>
      </c>
      <c r="S34" s="545"/>
      <c r="T34" s="219" t="str">
        <f>'приложение 6'!H67</f>
        <v>******</v>
      </c>
      <c r="U34" s="545"/>
      <c r="V34" s="219" t="str">
        <f>'приложение 6'!H68</f>
        <v>******</v>
      </c>
      <c r="W34" s="545"/>
      <c r="X34" s="545">
        <f>'приложение 6'!H69</f>
        <v>0</v>
      </c>
      <c r="Y34" s="545">
        <f>C34*X34/100</f>
        <v>0</v>
      </c>
      <c r="Z34" s="545">
        <f>'приложение 6'!H70</f>
        <v>0</v>
      </c>
      <c r="AA34" s="545">
        <f>C34*Z34/100</f>
        <v>0</v>
      </c>
      <c r="AB34" s="545">
        <f>'приложение 6'!H71</f>
        <v>0.90909090909090906</v>
      </c>
      <c r="AC34" s="545">
        <f>C34*AB34/100</f>
        <v>0.72727272727272718</v>
      </c>
      <c r="AD34" s="545">
        <f>'приложение 6'!H72</f>
        <v>0</v>
      </c>
      <c r="AE34" s="545">
        <f>C34*AD34/100</f>
        <v>0</v>
      </c>
      <c r="AF34" s="545">
        <f>'приложение 6'!H73</f>
        <v>0.88888888888888884</v>
      </c>
      <c r="AG34" s="545">
        <f>C34*AF34/100</f>
        <v>0.71111111111111114</v>
      </c>
      <c r="AH34" s="545">
        <f>'приложение 6'!H74</f>
        <v>0</v>
      </c>
      <c r="AI34" s="545">
        <f>C34*AH34/100</f>
        <v>0</v>
      </c>
      <c r="AJ34" s="545">
        <f>'приложение 6'!H75</f>
        <v>0</v>
      </c>
      <c r="AK34" s="545">
        <f>C34*AJ34/100</f>
        <v>0</v>
      </c>
      <c r="AL34" s="545">
        <f>'приложение 6'!H76</f>
        <v>0.90625</v>
      </c>
      <c r="AM34" s="545">
        <f>C34*AL34/100</f>
        <v>0.72499999999999998</v>
      </c>
      <c r="AN34" s="545">
        <f>'приложение 6'!H77</f>
        <v>0.93478260869565222</v>
      </c>
      <c r="AO34" s="545">
        <f>C34*AN34/100</f>
        <v>0.74782608695652175</v>
      </c>
      <c r="AP34" s="545">
        <f>'приложение 6'!H78</f>
        <v>0</v>
      </c>
      <c r="AQ34" s="545">
        <f>C34*AP34/100</f>
        <v>0</v>
      </c>
      <c r="AR34" s="545" t="str">
        <f>'приложение 6'!H79</f>
        <v>******</v>
      </c>
      <c r="AS34" s="545"/>
      <c r="AT34" s="545" t="str">
        <f>'приложение 6'!H80</f>
        <v>******</v>
      </c>
      <c r="AU34" s="545"/>
      <c r="AV34" s="545" t="str">
        <f>'приложение 6'!H81</f>
        <v>******</v>
      </c>
      <c r="AW34" s="545"/>
      <c r="AX34" s="545">
        <f>'приложение 6'!H82</f>
        <v>0.86046511627906974</v>
      </c>
      <c r="AY34" s="545">
        <f>C34*AX34/100</f>
        <v>0.68837209302325575</v>
      </c>
      <c r="AZ34" s="545">
        <f>'приложение 6'!H83</f>
        <v>0.86046511627906974</v>
      </c>
      <c r="BA34" s="545">
        <f>C34*AZ34/100</f>
        <v>0.68837209302325575</v>
      </c>
      <c r="BB34" s="545">
        <f>'приложение 6'!H84</f>
        <v>0</v>
      </c>
      <c r="BC34" s="545">
        <f>C34*BB34/100</f>
        <v>0</v>
      </c>
      <c r="BD34" s="545">
        <f>'приложение 6'!H85</f>
        <v>0</v>
      </c>
      <c r="BE34" s="545">
        <f>C34*BD34/100</f>
        <v>0</v>
      </c>
      <c r="BF34" s="545">
        <f>'приложение 6'!H86</f>
        <v>0</v>
      </c>
      <c r="BG34" s="545">
        <f>C34*BF34/100</f>
        <v>0</v>
      </c>
      <c r="BH34" s="545">
        <f>'приложение 6'!H87</f>
        <v>0.77272727272727271</v>
      </c>
      <c r="BI34" s="545">
        <f>C34*BH34/100</f>
        <v>0.61818181818181817</v>
      </c>
      <c r="BJ34" s="545">
        <f>'приложение 6'!H88</f>
        <v>0</v>
      </c>
      <c r="BK34" s="545">
        <f>C34*BJ34/100</f>
        <v>0</v>
      </c>
      <c r="BL34" s="519" t="s">
        <v>529</v>
      </c>
      <c r="BM34" s="543">
        <f t="shared" si="20"/>
        <v>0.12589147286821706</v>
      </c>
    </row>
    <row r="35" spans="1:65" ht="114.75" customHeight="1" thickBot="1" x14ac:dyDescent="0.3">
      <c r="A35" s="553" t="s">
        <v>244</v>
      </c>
      <c r="B35" s="355" t="s">
        <v>5</v>
      </c>
      <c r="C35" s="356">
        <v>20</v>
      </c>
      <c r="D35" s="219">
        <f>1/1</f>
        <v>1</v>
      </c>
      <c r="E35" s="545">
        <f>C35*D35/100</f>
        <v>0.2</v>
      </c>
      <c r="F35" s="219">
        <f>1/1</f>
        <v>1</v>
      </c>
      <c r="G35" s="545">
        <f>C35*F35/100</f>
        <v>0.2</v>
      </c>
      <c r="H35" s="219">
        <f>1/1</f>
        <v>1</v>
      </c>
      <c r="I35" s="545">
        <f>C35*H35/100</f>
        <v>0.2</v>
      </c>
      <c r="J35" s="219">
        <f>1/1</f>
        <v>1</v>
      </c>
      <c r="K35" s="545">
        <f>C35*J35/100</f>
        <v>0.2</v>
      </c>
      <c r="L35" s="545">
        <f>1/1</f>
        <v>1</v>
      </c>
      <c r="M35" s="545">
        <f>100*L35/100</f>
        <v>1</v>
      </c>
      <c r="N35" s="219">
        <f>1/1</f>
        <v>1</v>
      </c>
      <c r="O35" s="219">
        <f>100*N35/100</f>
        <v>1</v>
      </c>
      <c r="P35" s="545">
        <f>1/1</f>
        <v>1</v>
      </c>
      <c r="Q35" s="545">
        <f>100*P35/100</f>
        <v>1</v>
      </c>
      <c r="R35" s="219">
        <f>1/1</f>
        <v>1</v>
      </c>
      <c r="S35" s="545">
        <f>100*R35/100</f>
        <v>1</v>
      </c>
      <c r="T35" s="219">
        <f>1/1</f>
        <v>1</v>
      </c>
      <c r="U35" s="545">
        <f>100*T35/100</f>
        <v>1</v>
      </c>
      <c r="V35" s="219">
        <f>1/1</f>
        <v>1</v>
      </c>
      <c r="W35" s="545">
        <f>100*V35/100</f>
        <v>1</v>
      </c>
      <c r="X35" s="219">
        <f>1/1</f>
        <v>1</v>
      </c>
      <c r="Y35" s="545">
        <f>C35*X35/100</f>
        <v>0.2</v>
      </c>
      <c r="Z35" s="219">
        <f>1/1</f>
        <v>1</v>
      </c>
      <c r="AA35" s="545">
        <f>C35*Z35/100</f>
        <v>0.2</v>
      </c>
      <c r="AB35" s="219">
        <f>1/1</f>
        <v>1</v>
      </c>
      <c r="AC35" s="545">
        <f>C35*AB35/100</f>
        <v>0.2</v>
      </c>
      <c r="AD35" s="219">
        <f>25/25</f>
        <v>1</v>
      </c>
      <c r="AE35" s="545">
        <f>C35*AD35/100</f>
        <v>0.2</v>
      </c>
      <c r="AF35" s="219">
        <f>1/1</f>
        <v>1</v>
      </c>
      <c r="AG35" s="545">
        <f>C35*AF35/100</f>
        <v>0.2</v>
      </c>
      <c r="AH35" s="219">
        <f>1/1</f>
        <v>1</v>
      </c>
      <c r="AI35" s="545">
        <f>C35*AH35/100</f>
        <v>0.2</v>
      </c>
      <c r="AJ35" s="219">
        <f>6/6</f>
        <v>1</v>
      </c>
      <c r="AK35" s="545">
        <f>C35*AJ35/100</f>
        <v>0.2</v>
      </c>
      <c r="AL35" s="219">
        <f>1/1</f>
        <v>1</v>
      </c>
      <c r="AM35" s="545">
        <f>C35*AL35/100</f>
        <v>0.2</v>
      </c>
      <c r="AN35" s="219">
        <f>1/1</f>
        <v>1</v>
      </c>
      <c r="AO35" s="545">
        <f>C35*AN35/100</f>
        <v>0.2</v>
      </c>
      <c r="AP35" s="219">
        <f>1/1</f>
        <v>1</v>
      </c>
      <c r="AQ35" s="545">
        <f>C35*AP35/100</f>
        <v>0.2</v>
      </c>
      <c r="AR35" s="219">
        <f>1/1</f>
        <v>1</v>
      </c>
      <c r="AS35" s="545">
        <f>100*AR35/100</f>
        <v>1</v>
      </c>
      <c r="AT35" s="219">
        <f>1/1</f>
        <v>1</v>
      </c>
      <c r="AU35" s="545">
        <f>100*AT35/100</f>
        <v>1</v>
      </c>
      <c r="AV35" s="219">
        <f>1/1</f>
        <v>1</v>
      </c>
      <c r="AW35" s="545">
        <f>100*AV35/100</f>
        <v>1</v>
      </c>
      <c r="AX35" s="219">
        <f>1/1</f>
        <v>1</v>
      </c>
      <c r="AY35" s="545">
        <f>C35*AX35/100</f>
        <v>0.2</v>
      </c>
      <c r="AZ35" s="219">
        <f>1/1</f>
        <v>1</v>
      </c>
      <c r="BA35" s="545">
        <f>C35*AZ35/100</f>
        <v>0.2</v>
      </c>
      <c r="BB35" s="219">
        <f>1/1</f>
        <v>1</v>
      </c>
      <c r="BC35" s="545">
        <f>C35*BB35/100</f>
        <v>0.2</v>
      </c>
      <c r="BD35" s="219">
        <f>1/1</f>
        <v>1</v>
      </c>
      <c r="BE35" s="545">
        <f>C35*BD35/100</f>
        <v>0.2</v>
      </c>
      <c r="BF35" s="219">
        <f>1/1</f>
        <v>1</v>
      </c>
      <c r="BG35" s="545">
        <f>C35*BF35/100</f>
        <v>0.2</v>
      </c>
      <c r="BH35" s="219">
        <f>1/1</f>
        <v>1</v>
      </c>
      <c r="BI35" s="545">
        <f>C35*BH35/100</f>
        <v>0.2</v>
      </c>
      <c r="BJ35" s="219">
        <f>1/1</f>
        <v>1</v>
      </c>
      <c r="BK35" s="545">
        <f>C35*BJ35/100</f>
        <v>0.2</v>
      </c>
      <c r="BL35" s="494" t="s">
        <v>92</v>
      </c>
      <c r="BM35" s="543">
        <f t="shared" si="20"/>
        <v>0.67999999999999994</v>
      </c>
    </row>
    <row r="36" spans="1:65" ht="27.2" customHeight="1" thickBot="1" x14ac:dyDescent="0.3">
      <c r="A36" s="629" t="s">
        <v>9</v>
      </c>
      <c r="B36" s="630"/>
      <c r="C36" s="386">
        <v>10</v>
      </c>
      <c r="D36" s="376"/>
      <c r="E36" s="374">
        <f>C36*(E38+E37+E39)</f>
        <v>9.853805870339432</v>
      </c>
      <c r="F36" s="376"/>
      <c r="G36" s="374">
        <f>C36*(G38+G37+G39)</f>
        <v>8.18</v>
      </c>
      <c r="H36" s="376"/>
      <c r="I36" s="374">
        <f>C36*(I38+I37+I39)</f>
        <v>10</v>
      </c>
      <c r="J36" s="376"/>
      <c r="K36" s="374">
        <f>C36*(K38+K37+K39)</f>
        <v>7.8931486728449372</v>
      </c>
      <c r="L36" s="374"/>
      <c r="M36" s="374">
        <f>C36*(M37+M38+M39)</f>
        <v>10</v>
      </c>
      <c r="N36" s="376"/>
      <c r="O36" s="374">
        <f>C36*(O38+O37+O39)</f>
        <v>10</v>
      </c>
      <c r="P36" s="374"/>
      <c r="Q36" s="374">
        <f>C36*(Q37+Q38+Q39)</f>
        <v>10</v>
      </c>
      <c r="R36" s="376"/>
      <c r="S36" s="374">
        <f>C36*(S38+S37+S39)</f>
        <v>10</v>
      </c>
      <c r="T36" s="376"/>
      <c r="U36" s="374">
        <f>C36*(U38+U37+U39)</f>
        <v>-95.286901844402934</v>
      </c>
      <c r="V36" s="376"/>
      <c r="W36" s="374">
        <f>C36*(W38+W37+W39)</f>
        <v>10</v>
      </c>
      <c r="X36" s="331"/>
      <c r="Y36" s="374">
        <f>12.5*(Y38+Y37+Y39)</f>
        <v>12.5</v>
      </c>
      <c r="Z36" s="331"/>
      <c r="AA36" s="374">
        <f>C36*(AA38+AA37+AA39)</f>
        <v>8.18</v>
      </c>
      <c r="AB36" s="331"/>
      <c r="AC36" s="374">
        <f>C36*(AC38+AC37+AC39)</f>
        <v>9.7528912671762029</v>
      </c>
      <c r="AD36" s="331"/>
      <c r="AE36" s="374">
        <f>C36*(AE38+AE37+AE39)</f>
        <v>7.2700000000000014</v>
      </c>
      <c r="AF36" s="331"/>
      <c r="AG36" s="374">
        <f>C36*(AG38+AG37+AG39)</f>
        <v>9.8820463977835225</v>
      </c>
      <c r="AH36" s="331"/>
      <c r="AI36" s="374">
        <f>C36*(AI38+AI37+AI39)</f>
        <v>10</v>
      </c>
      <c r="AJ36" s="331"/>
      <c r="AK36" s="374">
        <f>C36*(AK38+AK37+AK39)</f>
        <v>10</v>
      </c>
      <c r="AL36" s="331"/>
      <c r="AM36" s="374">
        <f>12.5*(AM38+AM37+AM39)</f>
        <v>12.5</v>
      </c>
      <c r="AN36" s="331"/>
      <c r="AO36" s="374">
        <f>C36*(AO38+AO37+AO39)</f>
        <v>10</v>
      </c>
      <c r="AP36" s="331"/>
      <c r="AQ36" s="374">
        <f>12.5*(AQ38+AQ37+AQ39)</f>
        <v>12.5</v>
      </c>
      <c r="AR36" s="331"/>
      <c r="AS36" s="374">
        <f>12.5*(AS38+AS37+AS39)</f>
        <v>12.5</v>
      </c>
      <c r="AT36" s="331"/>
      <c r="AU36" s="374">
        <f>12.5*(AU38+AU37+AU39)</f>
        <v>12.500125000000001</v>
      </c>
      <c r="AV36" s="331"/>
      <c r="AW36" s="374">
        <f>C36*(AW38+AW37+AW39)</f>
        <v>10</v>
      </c>
      <c r="AX36" s="331"/>
      <c r="AY36" s="374">
        <f>C36*(AY38+AY37+AY39)</f>
        <v>10</v>
      </c>
      <c r="AZ36" s="331"/>
      <c r="BA36" s="374">
        <f>C36*(BA38+BA37+BA39)</f>
        <v>10</v>
      </c>
      <c r="BB36" s="331"/>
      <c r="BC36" s="374">
        <f>C36*(BC38+BC37+BC39)</f>
        <v>10</v>
      </c>
      <c r="BD36" s="331"/>
      <c r="BE36" s="374">
        <f>C36*(BE38+BE37+BE39)</f>
        <v>10</v>
      </c>
      <c r="BF36" s="331"/>
      <c r="BG36" s="374">
        <f>C36*(BG38+BG37+BG39)</f>
        <v>6.3251049925136211</v>
      </c>
      <c r="BH36" s="331"/>
      <c r="BI36" s="374">
        <f>C36*(BI38+BI37+BI39)</f>
        <v>10</v>
      </c>
      <c r="BJ36" s="331"/>
      <c r="BK36" s="374">
        <f>C36*(BK38+BK37+BK39)</f>
        <v>10</v>
      </c>
      <c r="BL36" s="377"/>
      <c r="BM36" s="543">
        <f t="shared" si="20"/>
        <v>-0.93599473012185608</v>
      </c>
    </row>
    <row r="37" spans="1:65" ht="138.75" customHeight="1" x14ac:dyDescent="0.25">
      <c r="A37" s="551" t="s">
        <v>235</v>
      </c>
      <c r="B37" s="358" t="s">
        <v>5</v>
      </c>
      <c r="C37" s="391">
        <v>27.3</v>
      </c>
      <c r="D37" s="548">
        <f>'свод по прилож. 1,2'!E11</f>
        <v>1</v>
      </c>
      <c r="E37" s="219">
        <f>C37*D37/100</f>
        <v>0.27300000000000002</v>
      </c>
      <c r="F37" s="548">
        <f>'свод по прилож. 1,2'!F11</f>
        <v>1</v>
      </c>
      <c r="G37" s="219">
        <f>C37*F37/100</f>
        <v>0.27300000000000002</v>
      </c>
      <c r="H37" s="548">
        <f>'свод по прилож. 1,2'!G11</f>
        <v>1</v>
      </c>
      <c r="I37" s="219">
        <f>C37*H37/100</f>
        <v>0.27300000000000002</v>
      </c>
      <c r="J37" s="548">
        <f>'свод по прилож. 1,2'!H11</f>
        <v>1</v>
      </c>
      <c r="K37" s="219">
        <f>C37*J37/100</f>
        <v>0.27300000000000002</v>
      </c>
      <c r="L37" s="548">
        <f>'свод по прилож. 1,2'!I11</f>
        <v>1</v>
      </c>
      <c r="M37" s="219">
        <f>33.37*L37/100</f>
        <v>0.3337</v>
      </c>
      <c r="N37" s="548">
        <f>'свод по прилож. 1,2'!J11</f>
        <v>1</v>
      </c>
      <c r="O37" s="219">
        <f>33.37*N37/100</f>
        <v>0.3337</v>
      </c>
      <c r="P37" s="548">
        <f>'свод по прилож. 1,2'!K11</f>
        <v>1</v>
      </c>
      <c r="Q37" s="219">
        <f>33.37*P37/100</f>
        <v>0.3337</v>
      </c>
      <c r="R37" s="548">
        <f>'свод по прилож. 1,2'!L11</f>
        <v>1</v>
      </c>
      <c r="S37" s="219">
        <f>33.37*R37/100</f>
        <v>0.3337</v>
      </c>
      <c r="T37" s="548">
        <f>'свод по прилож. 1,2'!M11</f>
        <v>1</v>
      </c>
      <c r="U37" s="548">
        <f>33.37*T37/100</f>
        <v>0.3337</v>
      </c>
      <c r="V37" s="548">
        <f>'свод по прилож. 1,2'!N11</f>
        <v>1</v>
      </c>
      <c r="W37" s="219">
        <f>33.37*V37/100</f>
        <v>0.3337</v>
      </c>
      <c r="X37" s="548">
        <f>'свод по прилож. 1,2'!O11</f>
        <v>1</v>
      </c>
      <c r="Y37" s="219">
        <f>C37*X37/100</f>
        <v>0.27300000000000002</v>
      </c>
      <c r="Z37" s="548">
        <f>'свод по прилож. 1,2'!P11</f>
        <v>1</v>
      </c>
      <c r="AA37" s="219">
        <f>C37*Z37/100</f>
        <v>0.27300000000000002</v>
      </c>
      <c r="AB37" s="548">
        <f>'свод по прилож. 1,2'!Q11</f>
        <v>1</v>
      </c>
      <c r="AC37" s="219">
        <f>C37*AB37/100</f>
        <v>0.27300000000000002</v>
      </c>
      <c r="AD37" s="548">
        <f>'свод по прилож. 1,2'!R11</f>
        <v>0</v>
      </c>
      <c r="AE37" s="219">
        <f>C37*AD37/100</f>
        <v>0</v>
      </c>
      <c r="AF37" s="548">
        <f>'свод по прилож. 1,2'!S11</f>
        <v>1</v>
      </c>
      <c r="AG37" s="219">
        <f>C37*AF37/100</f>
        <v>0.27300000000000002</v>
      </c>
      <c r="AH37" s="548">
        <f>'свод по прилож. 1,2'!T11</f>
        <v>1</v>
      </c>
      <c r="AI37" s="219">
        <f>C37*AH37/100</f>
        <v>0.27300000000000002</v>
      </c>
      <c r="AJ37" s="548">
        <f>'свод по прилож. 1,2'!U11</f>
        <v>1</v>
      </c>
      <c r="AK37" s="219">
        <f>C37*AJ37/100</f>
        <v>0.27300000000000002</v>
      </c>
      <c r="AL37" s="548">
        <f>'свод по прилож. 1,2'!V11</f>
        <v>1</v>
      </c>
      <c r="AM37" s="219">
        <f>C37*AL37/100</f>
        <v>0.27300000000000002</v>
      </c>
      <c r="AN37" s="548">
        <f>'свод по прилож. 1,2'!W11</f>
        <v>1</v>
      </c>
      <c r="AO37" s="219">
        <f>C37*AN37/100</f>
        <v>0.27300000000000002</v>
      </c>
      <c r="AP37" s="548">
        <f>'свод по прилож. 1,2'!X11</f>
        <v>1</v>
      </c>
      <c r="AQ37" s="219">
        <f>C37*AP37/100</f>
        <v>0.27300000000000002</v>
      </c>
      <c r="AR37" s="548">
        <f>'свод по прилож. 1,2'!Y11</f>
        <v>1</v>
      </c>
      <c r="AS37" s="219">
        <f>33.37*AR37/100</f>
        <v>0.3337</v>
      </c>
      <c r="AT37" s="548">
        <f>'свод по прилож. 1,2'!Z11</f>
        <v>1</v>
      </c>
      <c r="AU37" s="219">
        <f>33.371*AT37/100</f>
        <v>0.33371000000000001</v>
      </c>
      <c r="AV37" s="548">
        <f>'свод по прилож. 1,2'!AA11</f>
        <v>1</v>
      </c>
      <c r="AW37" s="219">
        <f>33.37*AV37/100</f>
        <v>0.3337</v>
      </c>
      <c r="AX37" s="548">
        <f>'свод по прилож. 1,2'!AB11</f>
        <v>1</v>
      </c>
      <c r="AY37" s="219">
        <f>C37*AX37/100</f>
        <v>0.27300000000000002</v>
      </c>
      <c r="AZ37" s="548">
        <f>'свод по прилож. 1,2'!AC11</f>
        <v>1</v>
      </c>
      <c r="BA37" s="219">
        <f>C37*AZ37/100</f>
        <v>0.27300000000000002</v>
      </c>
      <c r="BB37" s="548">
        <f>'свод по прилож. 1,2'!AD11</f>
        <v>1</v>
      </c>
      <c r="BC37" s="219">
        <f>C37*BB37/100</f>
        <v>0.27300000000000002</v>
      </c>
      <c r="BD37" s="548">
        <f>'свод по прилож. 1,2'!AE11</f>
        <v>1</v>
      </c>
      <c r="BE37" s="219">
        <f>C37*BD37/100</f>
        <v>0.27300000000000002</v>
      </c>
      <c r="BF37" s="548">
        <f>'свод по прилож. 1,2'!AF11</f>
        <v>1</v>
      </c>
      <c r="BG37" s="219">
        <f>C37*BF37/100</f>
        <v>0.27300000000000002</v>
      </c>
      <c r="BH37" s="548">
        <f>'свод по прилож. 1,2'!AG11</f>
        <v>1</v>
      </c>
      <c r="BI37" s="219">
        <f>C37*BH37/100</f>
        <v>0.27300000000000002</v>
      </c>
      <c r="BJ37" s="548">
        <f>'свод по прилож. 1,2'!AH11</f>
        <v>1</v>
      </c>
      <c r="BK37" s="219">
        <f>C37*BJ37/100</f>
        <v>0.27300000000000002</v>
      </c>
      <c r="BL37" s="494" t="s">
        <v>472</v>
      </c>
      <c r="BM37" s="543">
        <f t="shared" si="20"/>
        <v>0.30941999999999992</v>
      </c>
    </row>
    <row r="38" spans="1:65" ht="90.75" customHeight="1" x14ac:dyDescent="0.25">
      <c r="A38" s="546" t="s">
        <v>486</v>
      </c>
      <c r="B38" s="359" t="s">
        <v>5</v>
      </c>
      <c r="C38" s="389">
        <v>54.5</v>
      </c>
      <c r="D38" s="547">
        <f>'Приложение 16'!F71</f>
        <v>0.97317538905310685</v>
      </c>
      <c r="E38" s="219">
        <f>C38*D38/100</f>
        <v>0.5303805870339432</v>
      </c>
      <c r="F38" s="547">
        <f>'Приложение 16'!F72</f>
        <v>1</v>
      </c>
      <c r="G38" s="219">
        <f>C38*F38/100</f>
        <v>0.54500000000000004</v>
      </c>
      <c r="H38" s="547">
        <f>'Приложение 16'!F73</f>
        <v>1</v>
      </c>
      <c r="I38" s="219">
        <f>C38*H38/100</f>
        <v>0.54500000000000004</v>
      </c>
      <c r="J38" s="219">
        <f>'Приложение 16'!F74</f>
        <v>0.94736672896237384</v>
      </c>
      <c r="K38" s="219">
        <f>C38*J38/100</f>
        <v>0.51631486728449372</v>
      </c>
      <c r="L38" s="219">
        <f>'Приложение 16'!F75</f>
        <v>1</v>
      </c>
      <c r="M38" s="219">
        <f>66.63*L38/100</f>
        <v>0.6663</v>
      </c>
      <c r="N38" s="219">
        <f>'Приложение 16'!F76</f>
        <v>1</v>
      </c>
      <c r="O38" s="219">
        <f>66.63*N38/100</f>
        <v>0.6663</v>
      </c>
      <c r="P38" s="219">
        <f>'Приложение 16'!F77</f>
        <v>1</v>
      </c>
      <c r="Q38" s="219">
        <f>66.63*P38/100</f>
        <v>0.6663</v>
      </c>
      <c r="R38" s="219">
        <f>'Приложение 16'!F78</f>
        <v>1</v>
      </c>
      <c r="S38" s="219">
        <f>66.63*R38/100</f>
        <v>0.6663</v>
      </c>
      <c r="T38" s="219">
        <f>'Приложение 16'!F79</f>
        <v>-14.801726226084787</v>
      </c>
      <c r="U38" s="219">
        <f>66.63*T38/100</f>
        <v>-9.8623901844402937</v>
      </c>
      <c r="V38" s="219">
        <f>'Приложение 16'!F80</f>
        <v>1</v>
      </c>
      <c r="W38" s="219">
        <f>66.63*V38/100</f>
        <v>0.6663</v>
      </c>
      <c r="X38" s="547">
        <f>'Приложение 16'!F81</f>
        <v>1</v>
      </c>
      <c r="Y38" s="219">
        <f>C38*X38/100</f>
        <v>0.54500000000000004</v>
      </c>
      <c r="Z38" s="547">
        <f>'Приложение 16'!F82</f>
        <v>1</v>
      </c>
      <c r="AA38" s="219">
        <f>C38*Z38/100</f>
        <v>0.54500000000000004</v>
      </c>
      <c r="AB38" s="547">
        <f>'Приложение 16'!F83</f>
        <v>0.95465894810572505</v>
      </c>
      <c r="AC38" s="219">
        <f>C38*AB38/100</f>
        <v>0.52028912671762018</v>
      </c>
      <c r="AD38" s="547">
        <f>'Приложение 16'!F84</f>
        <v>1</v>
      </c>
      <c r="AE38" s="219">
        <f>C38*AD38/100</f>
        <v>0.54500000000000004</v>
      </c>
      <c r="AF38" s="547">
        <f>'Приложение 16'!F85</f>
        <v>0.97835713720798567</v>
      </c>
      <c r="AG38" s="219">
        <f>C38*AF38/100</f>
        <v>0.5332046397783522</v>
      </c>
      <c r="AH38" s="547">
        <f>'Приложение 16'!F86</f>
        <v>1</v>
      </c>
      <c r="AI38" s="219">
        <f>C38*AH38/100</f>
        <v>0.54500000000000004</v>
      </c>
      <c r="AJ38" s="547">
        <f>'Приложение 16'!F87</f>
        <v>1</v>
      </c>
      <c r="AK38" s="219">
        <f>C38*AJ38/100</f>
        <v>0.54500000000000004</v>
      </c>
      <c r="AL38" s="547">
        <f>'Приложение 16'!F88</f>
        <v>1</v>
      </c>
      <c r="AM38" s="219">
        <f>C38*AL38/100</f>
        <v>0.54500000000000004</v>
      </c>
      <c r="AN38" s="547">
        <f>'Приложение 16'!F89</f>
        <v>1</v>
      </c>
      <c r="AO38" s="219">
        <f>C38*AN38/100</f>
        <v>0.54500000000000004</v>
      </c>
      <c r="AP38" s="547">
        <f>'Приложение 16'!F90</f>
        <v>1</v>
      </c>
      <c r="AQ38" s="219">
        <f>C38*AP38/100</f>
        <v>0.54500000000000004</v>
      </c>
      <c r="AR38" s="547">
        <f>'Приложение 16'!F91</f>
        <v>1</v>
      </c>
      <c r="AS38" s="219">
        <f>66.63*AR38/100</f>
        <v>0.6663</v>
      </c>
      <c r="AT38" s="547">
        <f>'Приложение 16'!F92</f>
        <v>1</v>
      </c>
      <c r="AU38" s="219">
        <f>66.63*AT38/100</f>
        <v>0.6663</v>
      </c>
      <c r="AV38" s="547">
        <f>'Приложение 16'!F93</f>
        <v>1</v>
      </c>
      <c r="AW38" s="219">
        <f>66.63*AV38/100</f>
        <v>0.6663</v>
      </c>
      <c r="AX38" s="547">
        <f>'Приложение 16'!F94</f>
        <v>1</v>
      </c>
      <c r="AY38" s="219">
        <f>C38*AX38/100</f>
        <v>0.54500000000000004</v>
      </c>
      <c r="AZ38" s="547">
        <f>'Приложение 16'!F95</f>
        <v>1</v>
      </c>
      <c r="BA38" s="219">
        <f>C38*AZ38/100</f>
        <v>0.54500000000000004</v>
      </c>
      <c r="BB38" s="547">
        <f>'Приложение 16'!F96</f>
        <v>1</v>
      </c>
      <c r="BC38" s="219">
        <f>C38*BB38/100</f>
        <v>0.54500000000000004</v>
      </c>
      <c r="BD38" s="547">
        <f>'Приложение 16'!F97</f>
        <v>1</v>
      </c>
      <c r="BE38" s="219">
        <f>C38*BD38/100</f>
        <v>0.54500000000000004</v>
      </c>
      <c r="BF38" s="547">
        <f>'Приложение 16'!F98</f>
        <v>0.3257073380758938</v>
      </c>
      <c r="BG38" s="219">
        <f>C38*BF38/100</f>
        <v>0.17751049925136211</v>
      </c>
      <c r="BH38" s="547">
        <f>'Приложение 16'!F99</f>
        <v>1</v>
      </c>
      <c r="BI38" s="219">
        <f>C38*BH38/100</f>
        <v>0.54500000000000004</v>
      </c>
      <c r="BJ38" s="547">
        <f>'Приложение 16'!F100</f>
        <v>1</v>
      </c>
      <c r="BK38" s="219">
        <f>C38*BJ38/100</f>
        <v>0.54500000000000004</v>
      </c>
      <c r="BL38" s="495" t="s">
        <v>213</v>
      </c>
      <c r="BM38" s="543">
        <f t="shared" si="20"/>
        <v>-0.4394194730121857</v>
      </c>
    </row>
    <row r="39" spans="1:65" ht="90.95" customHeight="1" x14ac:dyDescent="0.25">
      <c r="A39" s="354" t="s">
        <v>233</v>
      </c>
      <c r="B39" s="360" t="s">
        <v>5</v>
      </c>
      <c r="C39" s="356">
        <v>18.2</v>
      </c>
      <c r="D39" s="554">
        <f>'сведения о КЗ, ДЗ'!C55</f>
        <v>1</v>
      </c>
      <c r="E39" s="219">
        <f>C39*D39/100</f>
        <v>0.182</v>
      </c>
      <c r="F39" s="219">
        <f>'сведения о КЗ, ДЗ'!D55</f>
        <v>0</v>
      </c>
      <c r="G39" s="219">
        <f>C39*F39/100</f>
        <v>0</v>
      </c>
      <c r="H39" s="219">
        <f>'сведения о КЗ, ДЗ'!E55</f>
        <v>1</v>
      </c>
      <c r="I39" s="219">
        <f>C39*H39/100</f>
        <v>0.182</v>
      </c>
      <c r="J39" s="219">
        <f>'сведения о КЗ, ДЗ'!F55</f>
        <v>0</v>
      </c>
      <c r="K39" s="219">
        <f>C39*J39/100</f>
        <v>0</v>
      </c>
      <c r="L39" s="219" t="str">
        <f>'сведения о КЗ, ДЗ'!G55</f>
        <v>******</v>
      </c>
      <c r="M39" s="219"/>
      <c r="N39" s="219" t="str">
        <f>'сведения о КЗ, ДЗ'!H55</f>
        <v>******</v>
      </c>
      <c r="O39" s="219"/>
      <c r="P39" s="219" t="str">
        <f>'сведения о КЗ, ДЗ'!I55</f>
        <v>******</v>
      </c>
      <c r="Q39" s="219"/>
      <c r="R39" s="219" t="str">
        <f>'сведения о КЗ, ДЗ'!J55</f>
        <v>******</v>
      </c>
      <c r="S39" s="219"/>
      <c r="T39" s="219" t="str">
        <f>'сведения о КЗ, ДЗ'!K55</f>
        <v>******</v>
      </c>
      <c r="U39" s="219"/>
      <c r="V39" s="219" t="str">
        <f>'сведения о КЗ, ДЗ'!L55</f>
        <v>******</v>
      </c>
      <c r="W39" s="219"/>
      <c r="X39" s="219">
        <f>'сведения о КЗ, ДЗ'!M55</f>
        <v>1</v>
      </c>
      <c r="Y39" s="219">
        <f>C39*X39/100</f>
        <v>0.182</v>
      </c>
      <c r="Z39" s="219">
        <f>'сведения о КЗ, ДЗ'!N55</f>
        <v>0</v>
      </c>
      <c r="AA39" s="219">
        <f>C39*Z39/100</f>
        <v>0</v>
      </c>
      <c r="AB39" s="219">
        <f>'сведения о КЗ, ДЗ'!O55</f>
        <v>1</v>
      </c>
      <c r="AC39" s="219">
        <f>C39*AB39/100</f>
        <v>0.182</v>
      </c>
      <c r="AD39" s="219">
        <f>'сведения о КЗ, ДЗ'!P55</f>
        <v>1</v>
      </c>
      <c r="AE39" s="219">
        <f>C39*AD39/100</f>
        <v>0.182</v>
      </c>
      <c r="AF39" s="219">
        <f>'сведения о КЗ, ДЗ'!Q55</f>
        <v>1</v>
      </c>
      <c r="AG39" s="219">
        <f>C39*AF39/100</f>
        <v>0.182</v>
      </c>
      <c r="AH39" s="219">
        <f>'сведения о КЗ, ДЗ'!R55</f>
        <v>1</v>
      </c>
      <c r="AI39" s="219">
        <f>C39*AH39/100</f>
        <v>0.182</v>
      </c>
      <c r="AJ39" s="219">
        <f>'сведения о КЗ, ДЗ'!S55</f>
        <v>1</v>
      </c>
      <c r="AK39" s="219">
        <f>C39*AJ39/100</f>
        <v>0.182</v>
      </c>
      <c r="AL39" s="219">
        <f>'сведения о КЗ, ДЗ'!T55</f>
        <v>1</v>
      </c>
      <c r="AM39" s="219">
        <f>C39*AL39/100</f>
        <v>0.182</v>
      </c>
      <c r="AN39" s="219">
        <f>'сведения о КЗ, ДЗ'!U55</f>
        <v>1</v>
      </c>
      <c r="AO39" s="219">
        <f>C39*AN39/100</f>
        <v>0.182</v>
      </c>
      <c r="AP39" s="219">
        <f>'сведения о КЗ, ДЗ'!V55</f>
        <v>1</v>
      </c>
      <c r="AQ39" s="219">
        <f>C39*AP39/100</f>
        <v>0.182</v>
      </c>
      <c r="AR39" s="219" t="str">
        <f>'сведения о КЗ, ДЗ'!W55</f>
        <v>******</v>
      </c>
      <c r="AS39" s="219"/>
      <c r="AT39" s="219" t="str">
        <f>'сведения о КЗ, ДЗ'!X55</f>
        <v>******</v>
      </c>
      <c r="AU39" s="219"/>
      <c r="AV39" s="219" t="str">
        <f>'сведения о КЗ, ДЗ'!Y55</f>
        <v>******</v>
      </c>
      <c r="AW39" s="219"/>
      <c r="AX39" s="219">
        <f>'сведения о КЗ, ДЗ'!Z55</f>
        <v>1</v>
      </c>
      <c r="AY39" s="219">
        <f>C39*AX39/100</f>
        <v>0.182</v>
      </c>
      <c r="AZ39" s="219">
        <f>'сведения о КЗ, ДЗ'!AA55</f>
        <v>1</v>
      </c>
      <c r="BA39" s="219">
        <f>C39*AZ39/100</f>
        <v>0.182</v>
      </c>
      <c r="BB39" s="219">
        <f>'сведения о КЗ, ДЗ'!AB55</f>
        <v>1</v>
      </c>
      <c r="BC39" s="219">
        <f>C39*BB39/100</f>
        <v>0.182</v>
      </c>
      <c r="BD39" s="219">
        <f>'сведения о КЗ, ДЗ'!AC55</f>
        <v>1</v>
      </c>
      <c r="BE39" s="219">
        <f>C39*BD39/100</f>
        <v>0.182</v>
      </c>
      <c r="BF39" s="219">
        <f>'сведения о КЗ, ДЗ'!AD55</f>
        <v>1</v>
      </c>
      <c r="BG39" s="219">
        <f>C39*BF39/100</f>
        <v>0.182</v>
      </c>
      <c r="BH39" s="219">
        <f>'сведения о КЗ, ДЗ'!AE55</f>
        <v>1</v>
      </c>
      <c r="BI39" s="219">
        <f>C39*BH39/100</f>
        <v>0.182</v>
      </c>
      <c r="BJ39" s="219">
        <f>'сведения о КЗ, ДЗ'!AF55</f>
        <v>1</v>
      </c>
      <c r="BK39" s="219">
        <f>C39*BJ39/100</f>
        <v>0.182</v>
      </c>
      <c r="BL39" s="494" t="s">
        <v>661</v>
      </c>
      <c r="BM39" s="543">
        <f t="shared" ref="BM39:BM59" si="21">(E39+I39+O39+K39+G39+W39+U39+S39+Q39+M39)/10</f>
        <v>3.6400000000000002E-2</v>
      </c>
    </row>
    <row r="40" spans="1:65" ht="29.45" customHeight="1" thickBot="1" x14ac:dyDescent="0.3">
      <c r="A40" s="626" t="s">
        <v>10</v>
      </c>
      <c r="B40" s="627"/>
      <c r="C40" s="390">
        <v>10</v>
      </c>
      <c r="D40" s="369"/>
      <c r="E40" s="370">
        <f>C40*(E41+E42+E43+E44+E45+E46+E47+E48)</f>
        <v>8.299165789849809</v>
      </c>
      <c r="F40" s="369"/>
      <c r="G40" s="370">
        <f>C40*(G41+G42+G43+G44+G45+G46+G47+G48)</f>
        <v>5.555542270930129</v>
      </c>
      <c r="H40" s="369"/>
      <c r="I40" s="370">
        <f>C40*(I41+I42+I43+I44+I45+I46+I47+I48)</f>
        <v>10</v>
      </c>
      <c r="J40" s="369"/>
      <c r="K40" s="370">
        <f>C40*(K41+K42+K43+K44+K45+K46+K47+K48)</f>
        <v>3.2560000000000002</v>
      </c>
      <c r="L40" s="370"/>
      <c r="M40" s="370">
        <f>K40*(M41+M42+M43+M44+M45+M46+M47+M48)</f>
        <v>3.2560000000000002</v>
      </c>
      <c r="N40" s="369"/>
      <c r="O40" s="370">
        <f>C40*(O41+O42+O43+O44+O45+O46+O47+O48)</f>
        <v>10</v>
      </c>
      <c r="P40" s="370"/>
      <c r="Q40" s="370">
        <f>E40*(Q41+Q42+Q43+Q44+Q45+Q46+Q47+Q48)</f>
        <v>8.299165789849809</v>
      </c>
      <c r="R40" s="369"/>
      <c r="S40" s="370">
        <f>C40*(S41+S42+S43+S44+S45+S46+S47+S48)</f>
        <v>8.2461215476697483</v>
      </c>
      <c r="T40" s="369"/>
      <c r="U40" s="370">
        <f>C40*(U41+U42+U43+U44+U45+U46+U47+U48)</f>
        <v>10</v>
      </c>
      <c r="V40" s="369"/>
      <c r="W40" s="370">
        <f>C40*(W41+W42+W43+W44+W45+W46+W47+W48)</f>
        <v>10</v>
      </c>
      <c r="X40" s="371"/>
      <c r="Y40" s="370">
        <f>12.5*(Y41+Y42+Y43+Y44+Y45+Y46+Y47+Y48)</f>
        <v>12.5</v>
      </c>
      <c r="Z40" s="371"/>
      <c r="AA40" s="370">
        <f>G40*(AA41+AA42+AA43+AA44+AA45+AA46+AA47+AA48)</f>
        <v>3.7367187810345888</v>
      </c>
      <c r="AB40" s="371"/>
      <c r="AC40" s="370">
        <f>I40*(AC41+AC42+AC43+AC44+AC45+AC46+AC47+AC48)</f>
        <v>10</v>
      </c>
      <c r="AD40" s="371"/>
      <c r="AE40" s="370">
        <f>K40*(AE41+AE42+AE43+AE44+AE45+AE46+AE47+AE48)</f>
        <v>2.3119405944414302</v>
      </c>
      <c r="AF40" s="371"/>
      <c r="AG40" s="370">
        <f>M40*(AG41+AG42+AG43+AG44+AG45+AG46+AG47+AG48)</f>
        <v>3.2560000000000002</v>
      </c>
      <c r="AH40" s="371"/>
      <c r="AI40" s="370">
        <f>O40*(AI41+AI42+AI43+AI44+AI45+AI46+AI47+AI48)</f>
        <v>10</v>
      </c>
      <c r="AJ40" s="371"/>
      <c r="AK40" s="370">
        <f>Q40*(AK41+AK42+AK43+AK44+AK45+AK46+AK47+AK48)</f>
        <v>8.299165789849809</v>
      </c>
      <c r="AL40" s="371"/>
      <c r="AM40" s="370">
        <f>12.5*(AM41+AM42+AM43+AM44+AM45+AM46+AM47+AM48)</f>
        <v>12.5</v>
      </c>
      <c r="AN40" s="371"/>
      <c r="AO40" s="370">
        <f>U40*(AO41+AO42+AO43+AO44+AO45+AO46+AO47+AO48)</f>
        <v>10</v>
      </c>
      <c r="AP40" s="371"/>
      <c r="AQ40" s="370">
        <f>12.5*(AQ41+AQ42+AQ43+AQ44+AQ45+AQ46+AQ47+AQ48)</f>
        <v>4.07</v>
      </c>
      <c r="AR40" s="371"/>
      <c r="AS40" s="370">
        <f>12.5*(AS41+AS42+AS43+AS44+AS45+AS46+AS47+AS48)</f>
        <v>12.5</v>
      </c>
      <c r="AT40" s="371"/>
      <c r="AU40" s="370">
        <f>12.5*(AU41+AU42+AU43+AU44+AU45+AU46+AU47+AU48)</f>
        <v>12.5</v>
      </c>
      <c r="AV40" s="371"/>
      <c r="AW40" s="370">
        <f>AC40*(AW41+AW42+AW43+AW44+AW45+AW46+AW47+AW48)</f>
        <v>6.5120000000000005</v>
      </c>
      <c r="AX40" s="371"/>
      <c r="AY40" s="370">
        <f>AE40*(AY41+AY42+AY43+AY44+AY45+AY46+AY47+AY48)</f>
        <v>2.3119405944414302</v>
      </c>
      <c r="AZ40" s="371"/>
      <c r="BA40" s="370">
        <f>AG40*(BA41+BA42+BA43+BA44+BA45+BA46+BA47+BA48)</f>
        <v>3.2560000000000002</v>
      </c>
      <c r="BB40" s="371"/>
      <c r="BC40" s="370">
        <f>AI40*(BC41+BC42+BC43+BC44+BC45+BC46+BC47+BC48)</f>
        <v>5.4772462698238922</v>
      </c>
      <c r="BD40" s="371"/>
      <c r="BE40" s="370">
        <f>AK40*(BE41+BE42+BE43+BE44+BE45+BE46+BE47+BE48)</f>
        <v>8.299165789849809</v>
      </c>
      <c r="BF40" s="371"/>
      <c r="BG40" s="370">
        <f>AM40*(BG41+BG42+BG43+BG44+BG45+BG46+BG47+BG48)</f>
        <v>12.5</v>
      </c>
      <c r="BH40" s="371"/>
      <c r="BI40" s="370">
        <f>AO40*(BI41+BI42+BI43+BI44+BI45+BI46+BI47+BI48)</f>
        <v>10</v>
      </c>
      <c r="BJ40" s="371"/>
      <c r="BK40" s="370">
        <f>AQ40*(BK41+BK42+BK43+BK44+BK45+BK46+BK47+BK48)</f>
        <v>4.07</v>
      </c>
      <c r="BL40" s="378"/>
      <c r="BM40" s="543">
        <f t="shared" si="21"/>
        <v>7.6911995398299497</v>
      </c>
    </row>
    <row r="41" spans="1:65" ht="136.5" customHeight="1" x14ac:dyDescent="0.25">
      <c r="A41" s="544" t="s">
        <v>94</v>
      </c>
      <c r="B41" s="361" t="s">
        <v>5</v>
      </c>
      <c r="C41" s="388">
        <v>7</v>
      </c>
      <c r="D41" s="545">
        <f>'Свод по прилож. 4'!F9</f>
        <v>0</v>
      </c>
      <c r="E41" s="545">
        <f>8.14*D41/100</f>
        <v>0</v>
      </c>
      <c r="F41" s="545">
        <f>'Свод по прилож. 4'!F11</f>
        <v>1</v>
      </c>
      <c r="G41" s="545">
        <f>8.14*F41/100</f>
        <v>8.14E-2</v>
      </c>
      <c r="H41" s="545">
        <f>'Свод по прилож. 4'!F20</f>
        <v>1</v>
      </c>
      <c r="I41" s="545">
        <f>8.14*H41/100</f>
        <v>8.14E-2</v>
      </c>
      <c r="J41" s="545">
        <f>'Свод по прилож. 4'!F25</f>
        <v>0</v>
      </c>
      <c r="K41" s="545">
        <f>8.14*J41/100</f>
        <v>0</v>
      </c>
      <c r="L41" s="545">
        <f>'Свод по прилож. 4'!F26</f>
        <v>1</v>
      </c>
      <c r="M41" s="545">
        <f>8.14*L41/100</f>
        <v>8.14E-2</v>
      </c>
      <c r="N41" s="545">
        <f>'Свод по прилож. 4'!F28</f>
        <v>1</v>
      </c>
      <c r="O41" s="545">
        <f>8.14*N41/100</f>
        <v>8.14E-2</v>
      </c>
      <c r="P41" s="545">
        <f>'Свод по прилож. 4'!F30</f>
        <v>1</v>
      </c>
      <c r="Q41" s="545">
        <f>8.14*P41/100</f>
        <v>8.14E-2</v>
      </c>
      <c r="R41" s="545">
        <f>'Свод по прилож. 4'!F27</f>
        <v>0</v>
      </c>
      <c r="S41" s="545">
        <f>8.14*R41/100</f>
        <v>0</v>
      </c>
      <c r="T41" s="545">
        <f>'Свод по прилож. 4'!F31</f>
        <v>1</v>
      </c>
      <c r="U41" s="545">
        <f>8.14*T41/100</f>
        <v>8.14E-2</v>
      </c>
      <c r="V41" s="545">
        <f>'Свод по прилож. 4'!F29</f>
        <v>1</v>
      </c>
      <c r="W41" s="545">
        <f>8.14*V41/100</f>
        <v>8.14E-2</v>
      </c>
      <c r="X41" s="545">
        <f>'Свод по прилож. 4'!F14</f>
        <v>1</v>
      </c>
      <c r="Y41" s="545">
        <f>8.14*X41/100</f>
        <v>8.14E-2</v>
      </c>
      <c r="Z41" s="545">
        <f>'Свод по прилож. 4'!F15</f>
        <v>1</v>
      </c>
      <c r="AA41" s="545">
        <f>8.14*Z41/100</f>
        <v>8.14E-2</v>
      </c>
      <c r="AB41" s="545">
        <f>'Свод по прилож. 4'!F13</f>
        <v>1</v>
      </c>
      <c r="AC41" s="545">
        <f>8.14*AB41/100</f>
        <v>8.14E-2</v>
      </c>
      <c r="AD41" s="545">
        <f>'Свод по прилож. 4'!F17</f>
        <v>1</v>
      </c>
      <c r="AE41" s="545">
        <f t="shared" ref="AE41:AE48" si="22">C41*AD41/100</f>
        <v>7.0000000000000007E-2</v>
      </c>
      <c r="AF41" s="545">
        <f>'Свод по прилож. 4'!F10</f>
        <v>1</v>
      </c>
      <c r="AG41" s="545">
        <f>8.14*AF41/100</f>
        <v>8.14E-2</v>
      </c>
      <c r="AH41" s="545">
        <f>'Свод по прилож. 4'!F19</f>
        <v>1</v>
      </c>
      <c r="AI41" s="545">
        <f t="shared" ref="AI41:AI48" si="23">C41*AH41/100</f>
        <v>7.0000000000000007E-2</v>
      </c>
      <c r="AJ41" s="545">
        <f>'Свод по прилож. 4'!F16</f>
        <v>1</v>
      </c>
      <c r="AK41" s="545">
        <f t="shared" ref="AK41:AK48" si="24">C41*AJ41/100</f>
        <v>7.0000000000000007E-2</v>
      </c>
      <c r="AL41" s="545">
        <f>'Свод по прилож. 4'!F12</f>
        <v>1</v>
      </c>
      <c r="AM41" s="545">
        <f>8.14*AL41/100</f>
        <v>8.14E-2</v>
      </c>
      <c r="AN41" s="545">
        <f>'Свод по прилож. 4'!F18</f>
        <v>1</v>
      </c>
      <c r="AO41" s="545">
        <f>8.14*AN41/100</f>
        <v>8.14E-2</v>
      </c>
      <c r="AP41" s="545">
        <f>'Свод по прилож. 4'!F21</f>
        <v>0</v>
      </c>
      <c r="AQ41" s="545">
        <f>8.14*AP41/100</f>
        <v>0</v>
      </c>
      <c r="AR41" s="545">
        <f>'Свод по прилож. 4'!F22</f>
        <v>1</v>
      </c>
      <c r="AS41" s="545">
        <f>8.14*AR41/100</f>
        <v>8.14E-2</v>
      </c>
      <c r="AT41" s="545">
        <f>'Свод по прилож. 4'!F24</f>
        <v>1</v>
      </c>
      <c r="AU41" s="545">
        <f>8.14*AT41/100</f>
        <v>8.14E-2</v>
      </c>
      <c r="AV41" s="545">
        <f>'Свод по прилож. 4'!F23</f>
        <v>0</v>
      </c>
      <c r="AW41" s="545">
        <f>8.14*AV41/100</f>
        <v>0</v>
      </c>
      <c r="AX41" s="545">
        <f>'Свод по прилож. 4'!F32</f>
        <v>1</v>
      </c>
      <c r="AY41" s="545">
        <f>8.14*AX41/100</f>
        <v>8.14E-2</v>
      </c>
      <c r="AZ41" s="545">
        <f>'Свод по прилож. 4'!F33</f>
        <v>1</v>
      </c>
      <c r="BA41" s="545">
        <f>8.14*AZ41/100</f>
        <v>8.14E-2</v>
      </c>
      <c r="BB41" s="545">
        <f>'Свод по прилож. 4'!F34</f>
        <v>1</v>
      </c>
      <c r="BC41" s="545">
        <f>8.14*BB41/100</f>
        <v>8.14E-2</v>
      </c>
      <c r="BD41" s="545">
        <f>'Свод по прилож. 4'!F35</f>
        <v>1</v>
      </c>
      <c r="BE41" s="545">
        <f>8.14*BD41/100</f>
        <v>8.14E-2</v>
      </c>
      <c r="BF41" s="545">
        <f>'Свод по прилож. 4'!F37</f>
        <v>1</v>
      </c>
      <c r="BG41" s="545">
        <f>8.14*BF41/100</f>
        <v>8.14E-2</v>
      </c>
      <c r="BH41" s="545">
        <f>'Свод по прилож. 4'!F38</f>
        <v>1</v>
      </c>
      <c r="BI41" s="545">
        <f>8.14*BH41/100</f>
        <v>8.14E-2</v>
      </c>
      <c r="BJ41" s="545">
        <f>'Свод по прилож. 4'!F36</f>
        <v>1</v>
      </c>
      <c r="BK41" s="545">
        <f>8.14*BJ41/100</f>
        <v>8.14E-2</v>
      </c>
      <c r="BL41" s="368" t="s">
        <v>95</v>
      </c>
      <c r="BM41" s="543"/>
    </row>
    <row r="42" spans="1:65" ht="135" customHeight="1" x14ac:dyDescent="0.25">
      <c r="A42" s="544" t="s">
        <v>96</v>
      </c>
      <c r="B42" s="361" t="s">
        <v>5</v>
      </c>
      <c r="C42" s="388">
        <v>7</v>
      </c>
      <c r="D42" s="545">
        <f>'Свод по прилож. 4'!J9</f>
        <v>0</v>
      </c>
      <c r="E42" s="545">
        <f>8.14*D42/100</f>
        <v>0</v>
      </c>
      <c r="F42" s="545">
        <f>'Свод по прилож. 4'!J11</f>
        <v>1</v>
      </c>
      <c r="G42" s="545">
        <f>8.14*F42/100</f>
        <v>8.14E-2</v>
      </c>
      <c r="H42" s="545">
        <f>'Свод по прилож. 4'!J20</f>
        <v>1</v>
      </c>
      <c r="I42" s="545">
        <f>8.14*H42/100</f>
        <v>8.14E-2</v>
      </c>
      <c r="J42" s="545">
        <f>'Свод по прилож. 4'!J25</f>
        <v>0</v>
      </c>
      <c r="K42" s="545">
        <f>8.14*J42/100</f>
        <v>0</v>
      </c>
      <c r="L42" s="545">
        <f>'Свод по прилож. 4'!J26</f>
        <v>1</v>
      </c>
      <c r="M42" s="545">
        <f>8.14*L42/100</f>
        <v>8.14E-2</v>
      </c>
      <c r="N42" s="545">
        <f>'Свод по прилож. 4'!J28</f>
        <v>1</v>
      </c>
      <c r="O42" s="545">
        <f>8.14*N42/100</f>
        <v>8.14E-2</v>
      </c>
      <c r="P42" s="545">
        <f>'Свод по прилож. 4'!J30</f>
        <v>1</v>
      </c>
      <c r="Q42" s="545">
        <f>8.14*P42/100</f>
        <v>8.14E-2</v>
      </c>
      <c r="R42" s="545">
        <f>'Свод по прилож. 4'!J27</f>
        <v>0</v>
      </c>
      <c r="S42" s="545">
        <f>8.14*R42/100</f>
        <v>0</v>
      </c>
      <c r="T42" s="545">
        <f>'Свод по прилож. 4'!J31</f>
        <v>1</v>
      </c>
      <c r="U42" s="545">
        <f>8.14*T42/100</f>
        <v>8.14E-2</v>
      </c>
      <c r="V42" s="545">
        <f>'Свод по прилож. 4'!J29</f>
        <v>1</v>
      </c>
      <c r="W42" s="545">
        <f>8.14*V42/100</f>
        <v>8.14E-2</v>
      </c>
      <c r="X42" s="545">
        <f>'Свод по прилож. 4'!J14</f>
        <v>1</v>
      </c>
      <c r="Y42" s="545">
        <f>8.14*X42/100</f>
        <v>8.14E-2</v>
      </c>
      <c r="Z42" s="545">
        <f>'Свод по прилож. 4'!J15</f>
        <v>1</v>
      </c>
      <c r="AA42" s="545">
        <f>8.14*Z42/100</f>
        <v>8.14E-2</v>
      </c>
      <c r="AB42" s="545">
        <f>'Свод по прилож. 4'!J13</f>
        <v>1</v>
      </c>
      <c r="AC42" s="545">
        <f>8.14*AB42/100</f>
        <v>8.14E-2</v>
      </c>
      <c r="AD42" s="545">
        <f>'Свод по прилож. 4'!J17</f>
        <v>1</v>
      </c>
      <c r="AE42" s="545">
        <f t="shared" si="22"/>
        <v>7.0000000000000007E-2</v>
      </c>
      <c r="AF42" s="545">
        <f>'Свод по прилож. 4'!J10</f>
        <v>1</v>
      </c>
      <c r="AG42" s="545">
        <f>8.14*AF42/100</f>
        <v>8.14E-2</v>
      </c>
      <c r="AH42" s="545">
        <f>'Свод по прилож. 4'!J19</f>
        <v>1</v>
      </c>
      <c r="AI42" s="545">
        <f t="shared" si="23"/>
        <v>7.0000000000000007E-2</v>
      </c>
      <c r="AJ42" s="545">
        <f>'Свод по прилож. 4'!J16</f>
        <v>1</v>
      </c>
      <c r="AK42" s="545">
        <f t="shared" si="24"/>
        <v>7.0000000000000007E-2</v>
      </c>
      <c r="AL42" s="545">
        <f>'Свод по прилож. 4'!J12</f>
        <v>1</v>
      </c>
      <c r="AM42" s="545">
        <f>8.14*AL42/100</f>
        <v>8.14E-2</v>
      </c>
      <c r="AN42" s="545">
        <f>'Свод по прилож. 4'!J18</f>
        <v>1</v>
      </c>
      <c r="AO42" s="545">
        <f>8.14*AN42/100</f>
        <v>8.14E-2</v>
      </c>
      <c r="AP42" s="545">
        <f>'Свод по прилож. 4'!J21</f>
        <v>0</v>
      </c>
      <c r="AQ42" s="545">
        <f>8.14*AP42/100</f>
        <v>0</v>
      </c>
      <c r="AR42" s="545">
        <f>'Свод по прилож. 4'!J22</f>
        <v>1</v>
      </c>
      <c r="AS42" s="545">
        <f>8.14*AR42/100</f>
        <v>8.14E-2</v>
      </c>
      <c r="AT42" s="545">
        <f>'Свод по прилож. 4'!J24</f>
        <v>1</v>
      </c>
      <c r="AU42" s="545">
        <f>8.14*AT42/100</f>
        <v>8.14E-2</v>
      </c>
      <c r="AV42" s="545">
        <f>'Свод по прилож. 4'!J23</f>
        <v>0</v>
      </c>
      <c r="AW42" s="545">
        <f>8.14*AV42/100</f>
        <v>0</v>
      </c>
      <c r="AX42" s="545">
        <f>'Свод по прилож. 4'!J32</f>
        <v>1</v>
      </c>
      <c r="AY42" s="545">
        <f>8.14*AX42/100</f>
        <v>8.14E-2</v>
      </c>
      <c r="AZ42" s="545">
        <f>'Свод по прилож. 4'!J33</f>
        <v>1</v>
      </c>
      <c r="BA42" s="545">
        <f>8.14*AZ42/100</f>
        <v>8.14E-2</v>
      </c>
      <c r="BB42" s="545">
        <f>'Свод по прилож. 4'!J34</f>
        <v>1</v>
      </c>
      <c r="BC42" s="545">
        <f>8.14*BB42/100</f>
        <v>8.14E-2</v>
      </c>
      <c r="BD42" s="545">
        <f>'Свод по прилож. 4'!J35</f>
        <v>1</v>
      </c>
      <c r="BE42" s="545">
        <f>8.14*BD42/100</f>
        <v>8.14E-2</v>
      </c>
      <c r="BF42" s="545">
        <f>'Свод по прилож. 4'!J37</f>
        <v>1</v>
      </c>
      <c r="BG42" s="545">
        <f>8.14*BF42/100</f>
        <v>8.14E-2</v>
      </c>
      <c r="BH42" s="545">
        <f>'Свод по прилож. 4'!J38</f>
        <v>1</v>
      </c>
      <c r="BI42" s="545">
        <f>8.14*BH42/100</f>
        <v>8.14E-2</v>
      </c>
      <c r="BJ42" s="545">
        <f>'Свод по прилож. 4'!J36</f>
        <v>1</v>
      </c>
      <c r="BK42" s="545">
        <f>8.14*BJ42/100</f>
        <v>8.14E-2</v>
      </c>
      <c r="BL42" s="368" t="s">
        <v>97</v>
      </c>
      <c r="BM42" s="543">
        <f t="shared" si="21"/>
        <v>5.698000000000001E-2</v>
      </c>
    </row>
    <row r="43" spans="1:65" ht="117" customHeight="1" x14ac:dyDescent="0.25">
      <c r="A43" s="544" t="s">
        <v>98</v>
      </c>
      <c r="B43" s="361" t="s">
        <v>5</v>
      </c>
      <c r="C43" s="388">
        <v>7</v>
      </c>
      <c r="D43" s="545" t="str">
        <f>'Свод по прилож. 4'!N9</f>
        <v>*</v>
      </c>
      <c r="E43" s="545"/>
      <c r="F43" s="545" t="str">
        <f>'Свод по прилож. 4'!N11</f>
        <v>*</v>
      </c>
      <c r="G43" s="545"/>
      <c r="H43" s="545" t="str">
        <f>'Свод по прилож. 4'!N20</f>
        <v>*</v>
      </c>
      <c r="I43" s="545"/>
      <c r="J43" s="545" t="str">
        <f>'Свод по прилож. 4'!N25</f>
        <v>*</v>
      </c>
      <c r="K43" s="545"/>
      <c r="L43" s="545" t="str">
        <f>'Свод по прилож. 4'!N26</f>
        <v>*</v>
      </c>
      <c r="M43" s="545"/>
      <c r="N43" s="545" t="str">
        <f>'Свод по прилож. 4'!N28</f>
        <v>*</v>
      </c>
      <c r="O43" s="545"/>
      <c r="P43" s="545" t="str">
        <f>'Свод по прилож. 4'!N30</f>
        <v>*</v>
      </c>
      <c r="Q43" s="545"/>
      <c r="R43" s="545" t="str">
        <f>'Свод по прилож. 4'!N27</f>
        <v>*</v>
      </c>
      <c r="S43" s="545"/>
      <c r="T43" s="545" t="str">
        <f>'Свод по прилож. 4'!N31</f>
        <v>*</v>
      </c>
      <c r="U43" s="545"/>
      <c r="V43" s="545" t="str">
        <f>'Свод по прилож. 4'!N29</f>
        <v>*</v>
      </c>
      <c r="W43" s="545"/>
      <c r="X43" s="545" t="str">
        <f>'Свод по прилож. 4'!N14</f>
        <v>*</v>
      </c>
      <c r="Y43" s="545"/>
      <c r="Z43" s="545" t="str">
        <f>'Свод по прилож. 4'!N15</f>
        <v>*</v>
      </c>
      <c r="AA43" s="545"/>
      <c r="AB43" s="545" t="str">
        <f>'Свод по прилож. 4'!N13</f>
        <v>*</v>
      </c>
      <c r="AC43" s="545"/>
      <c r="AD43" s="545">
        <f>'Свод по прилож. 4'!N17</f>
        <v>1</v>
      </c>
      <c r="AE43" s="545">
        <f t="shared" si="22"/>
        <v>7.0000000000000007E-2</v>
      </c>
      <c r="AF43" s="545" t="str">
        <f>'Свод по прилож. 4'!N10</f>
        <v>*</v>
      </c>
      <c r="AG43" s="545"/>
      <c r="AH43" s="545">
        <f>'Свод по прилож. 4'!N19</f>
        <v>1</v>
      </c>
      <c r="AI43" s="545">
        <f t="shared" si="23"/>
        <v>7.0000000000000007E-2</v>
      </c>
      <c r="AJ43" s="545">
        <f>'Свод по прилож. 4'!N16</f>
        <v>1</v>
      </c>
      <c r="AK43" s="545">
        <f t="shared" si="24"/>
        <v>7.0000000000000007E-2</v>
      </c>
      <c r="AL43" s="545" t="str">
        <f>'Свод по прилож. 4'!N12</f>
        <v>*</v>
      </c>
      <c r="AM43" s="545"/>
      <c r="AN43" s="545" t="str">
        <f>'Свод по прилож. 4'!N18</f>
        <v>*</v>
      </c>
      <c r="AO43" s="545"/>
      <c r="AP43" s="545" t="str">
        <f>'Свод по прилож. 4'!N21</f>
        <v>*</v>
      </c>
      <c r="AQ43" s="545"/>
      <c r="AR43" s="545" t="str">
        <f>'Свод по прилож. 4'!N22</f>
        <v>*</v>
      </c>
      <c r="AS43" s="545"/>
      <c r="AT43" s="545" t="str">
        <f>'Свод по прилож. 4'!N24</f>
        <v>*</v>
      </c>
      <c r="AU43" s="545"/>
      <c r="AV43" s="545" t="str">
        <f>'Свод по прилож. 4'!N23</f>
        <v>*</v>
      </c>
      <c r="AW43" s="545"/>
      <c r="AX43" s="545" t="str">
        <f>'Свод по прилож. 4'!N32</f>
        <v>*</v>
      </c>
      <c r="AY43" s="545"/>
      <c r="AZ43" s="545" t="str">
        <f>'Свод по прилож. 4'!N33</f>
        <v>*</v>
      </c>
      <c r="BA43" s="545"/>
      <c r="BB43" s="545" t="str">
        <f>'Свод по прилож. 4'!N34</f>
        <v>*</v>
      </c>
      <c r="BC43" s="545"/>
      <c r="BD43" s="545" t="str">
        <f>'Свод по прилож. 4'!N35</f>
        <v>*</v>
      </c>
      <c r="BE43" s="545"/>
      <c r="BF43" s="545" t="str">
        <f>'Свод по прилож. 4'!N37</f>
        <v>*</v>
      </c>
      <c r="BG43" s="545"/>
      <c r="BH43" s="545" t="str">
        <f>'Свод по прилож. 4'!N38</f>
        <v>*</v>
      </c>
      <c r="BI43" s="545"/>
      <c r="BJ43" s="545" t="str">
        <f>'Свод по прилож. 4'!N36</f>
        <v>*</v>
      </c>
      <c r="BK43" s="545"/>
      <c r="BL43" s="368" t="s">
        <v>99</v>
      </c>
      <c r="BM43" s="543"/>
    </row>
    <row r="44" spans="1:65" ht="158.25" customHeight="1" x14ac:dyDescent="0.25">
      <c r="A44" s="544" t="s">
        <v>100</v>
      </c>
      <c r="B44" s="361" t="s">
        <v>5</v>
      </c>
      <c r="C44" s="388">
        <v>7</v>
      </c>
      <c r="D44" s="545" t="str">
        <f>'Свод по прилож. 4'!R9</f>
        <v>*</v>
      </c>
      <c r="E44" s="545"/>
      <c r="F44" s="545" t="str">
        <f>'Свод по прилож. 4'!R11</f>
        <v>*</v>
      </c>
      <c r="G44" s="545"/>
      <c r="H44" s="545" t="str">
        <f>'Свод по прилож. 4'!R20</f>
        <v>*</v>
      </c>
      <c r="I44" s="545"/>
      <c r="J44" s="545" t="str">
        <f>'Свод по прилож. 4'!R25</f>
        <v>*</v>
      </c>
      <c r="K44" s="545"/>
      <c r="L44" s="545" t="str">
        <f>'Свод по прилож. 4'!R26</f>
        <v>*</v>
      </c>
      <c r="M44" s="545"/>
      <c r="N44" s="545" t="str">
        <f>'Свод по прилож. 4'!R28</f>
        <v>*</v>
      </c>
      <c r="O44" s="545"/>
      <c r="P44" s="545" t="str">
        <f>'Свод по прилож. 4'!R30</f>
        <v>*</v>
      </c>
      <c r="Q44" s="545"/>
      <c r="R44" s="545" t="str">
        <f>'Свод по прилож. 4'!R27</f>
        <v>*</v>
      </c>
      <c r="S44" s="545"/>
      <c r="T44" s="545" t="str">
        <f>'Свод по прилож. 4'!R31</f>
        <v>*</v>
      </c>
      <c r="U44" s="545"/>
      <c r="V44" s="545" t="str">
        <f>'Свод по прилож. 4'!R29</f>
        <v>*</v>
      </c>
      <c r="W44" s="545"/>
      <c r="X44" s="545" t="str">
        <f>'Свод по прилож. 4'!R14</f>
        <v>*</v>
      </c>
      <c r="Y44" s="545"/>
      <c r="Z44" s="545" t="str">
        <f>'Свод по прилож. 4'!R15</f>
        <v>*</v>
      </c>
      <c r="AA44" s="545"/>
      <c r="AB44" s="545" t="str">
        <f>'Свод по прилож. 4'!R13</f>
        <v>*</v>
      </c>
      <c r="AC44" s="545"/>
      <c r="AD44" s="545">
        <f>'Свод по прилож. 4'!R17</f>
        <v>1</v>
      </c>
      <c r="AE44" s="545">
        <f t="shared" si="22"/>
        <v>7.0000000000000007E-2</v>
      </c>
      <c r="AF44" s="545" t="str">
        <f>'Свод по прилож. 4'!R10</f>
        <v>*</v>
      </c>
      <c r="AG44" s="545"/>
      <c r="AH44" s="545">
        <f>'Свод по прилож. 4'!R19</f>
        <v>1</v>
      </c>
      <c r="AI44" s="545">
        <f t="shared" si="23"/>
        <v>7.0000000000000007E-2</v>
      </c>
      <c r="AJ44" s="545">
        <f>'Свод по прилож. 4'!R16</f>
        <v>1</v>
      </c>
      <c r="AK44" s="545">
        <f t="shared" si="24"/>
        <v>7.0000000000000007E-2</v>
      </c>
      <c r="AL44" s="545" t="str">
        <f>'Свод по прилож. 4'!R12</f>
        <v>*</v>
      </c>
      <c r="AM44" s="545"/>
      <c r="AN44" s="545" t="str">
        <f>'Свод по прилож. 4'!R18</f>
        <v>*</v>
      </c>
      <c r="AO44" s="545"/>
      <c r="AP44" s="545" t="str">
        <f>'Свод по прилож. 4'!R21</f>
        <v>*</v>
      </c>
      <c r="AQ44" s="545"/>
      <c r="AR44" s="545" t="str">
        <f>'Свод по прилож. 4'!R22</f>
        <v>*</v>
      </c>
      <c r="AS44" s="545"/>
      <c r="AT44" s="545" t="str">
        <f>'Свод по прилож. 4'!R24</f>
        <v>*</v>
      </c>
      <c r="AU44" s="545"/>
      <c r="AV44" s="545" t="str">
        <f>'Свод по прилож. 4'!R23</f>
        <v>*</v>
      </c>
      <c r="AW44" s="545"/>
      <c r="AX44" s="545" t="str">
        <f>'Свод по прилож. 4'!R32</f>
        <v>*</v>
      </c>
      <c r="AY44" s="545"/>
      <c r="AZ44" s="545" t="str">
        <f>'Свод по прилож. 4'!R33</f>
        <v>*</v>
      </c>
      <c r="BA44" s="545"/>
      <c r="BB44" s="545" t="str">
        <f>'Свод по прилож. 4'!R34</f>
        <v>*</v>
      </c>
      <c r="BC44" s="545"/>
      <c r="BD44" s="545" t="str">
        <f>'Свод по прилож. 4'!R35</f>
        <v>*</v>
      </c>
      <c r="BE44" s="545"/>
      <c r="BF44" s="545" t="str">
        <f>'Свод по прилож. 4'!R37</f>
        <v>*</v>
      </c>
      <c r="BG44" s="545"/>
      <c r="BH44" s="545" t="str">
        <f>'Свод по прилож. 4'!R38</f>
        <v>*</v>
      </c>
      <c r="BI44" s="545"/>
      <c r="BJ44" s="545" t="str">
        <f>'Свод по прилож. 4'!R36</f>
        <v>*</v>
      </c>
      <c r="BK44" s="545"/>
      <c r="BL44" s="368" t="s">
        <v>101</v>
      </c>
      <c r="BM44" s="543"/>
    </row>
    <row r="45" spans="1:65" ht="167.45" customHeight="1" x14ac:dyDescent="0.25">
      <c r="A45" s="544" t="s">
        <v>102</v>
      </c>
      <c r="B45" s="361" t="s">
        <v>5</v>
      </c>
      <c r="C45" s="388">
        <v>14</v>
      </c>
      <c r="D45" s="545">
        <f>'Свод по прилож. 4'!V9</f>
        <v>1</v>
      </c>
      <c r="E45" s="545">
        <f>16.28*D45/100</f>
        <v>0.1628</v>
      </c>
      <c r="F45" s="545">
        <f>'Свод по прилож. 4'!V11</f>
        <v>0</v>
      </c>
      <c r="G45" s="545">
        <f>16.28*F45/100</f>
        <v>0</v>
      </c>
      <c r="H45" s="545">
        <f>'Свод по прилож. 4'!V20</f>
        <v>1</v>
      </c>
      <c r="I45" s="545">
        <f>16.28*H45/100</f>
        <v>0.1628</v>
      </c>
      <c r="J45" s="545">
        <f>'Свод по прилож. 4'!V25</f>
        <v>1</v>
      </c>
      <c r="K45" s="545">
        <f>16.28*J45/100</f>
        <v>0.1628</v>
      </c>
      <c r="L45" s="545">
        <f>'Свод по прилож. 4'!V26</f>
        <v>1</v>
      </c>
      <c r="M45" s="545">
        <f>16.28*L45/100</f>
        <v>0.1628</v>
      </c>
      <c r="N45" s="545">
        <f>'Свод по прилож. 4'!V28</f>
        <v>1</v>
      </c>
      <c r="O45" s="545">
        <f>16.28*N45/100</f>
        <v>0.1628</v>
      </c>
      <c r="P45" s="545">
        <f>'Свод по прилож. 4'!V30</f>
        <v>1</v>
      </c>
      <c r="Q45" s="545">
        <f>16.28*P45/100</f>
        <v>0.1628</v>
      </c>
      <c r="R45" s="545">
        <f>'Свод по прилож. 4'!V27</f>
        <v>1</v>
      </c>
      <c r="S45" s="545">
        <f>16.28*R45/100</f>
        <v>0.1628</v>
      </c>
      <c r="T45" s="545">
        <f>'Свод по прилож. 4'!V31</f>
        <v>1</v>
      </c>
      <c r="U45" s="545">
        <f>16.28*T45/100</f>
        <v>0.1628</v>
      </c>
      <c r="V45" s="545">
        <f>'Свод по прилож. 4'!V29</f>
        <v>1</v>
      </c>
      <c r="W45" s="545">
        <f>16.28*V45/100</f>
        <v>0.1628</v>
      </c>
      <c r="X45" s="545">
        <f>'Свод по прилож. 4'!V14</f>
        <v>1</v>
      </c>
      <c r="Y45" s="545">
        <f>16.28*X45/100</f>
        <v>0.1628</v>
      </c>
      <c r="Z45" s="545">
        <f>'Свод по прилож. 4'!V15</f>
        <v>0</v>
      </c>
      <c r="AA45" s="545">
        <f>16.28*Z45/100</f>
        <v>0</v>
      </c>
      <c r="AB45" s="545">
        <f>'Свод по прилож. 4'!V13</f>
        <v>1</v>
      </c>
      <c r="AC45" s="545">
        <f>16.28*AB45/100</f>
        <v>0.1628</v>
      </c>
      <c r="AD45" s="545">
        <f>'Свод по прилож. 4'!V17</f>
        <v>0</v>
      </c>
      <c r="AE45" s="545">
        <f t="shared" si="22"/>
        <v>0</v>
      </c>
      <c r="AF45" s="545">
        <f>'Свод по прилож. 4'!V10</f>
        <v>1</v>
      </c>
      <c r="AG45" s="545">
        <f>16.28*AF45/100</f>
        <v>0.1628</v>
      </c>
      <c r="AH45" s="545">
        <f>'Свод по прилож. 4'!V19</f>
        <v>1</v>
      </c>
      <c r="AI45" s="545">
        <f t="shared" si="23"/>
        <v>0.14000000000000001</v>
      </c>
      <c r="AJ45" s="545">
        <f>'Свод по прилож. 4'!V16</f>
        <v>1</v>
      </c>
      <c r="AK45" s="545">
        <f t="shared" si="24"/>
        <v>0.14000000000000001</v>
      </c>
      <c r="AL45" s="545">
        <f>'Свод по прилож. 4'!V12</f>
        <v>1</v>
      </c>
      <c r="AM45" s="545">
        <f>16.28*AL45/100</f>
        <v>0.1628</v>
      </c>
      <c r="AN45" s="545">
        <f>'Свод по прилож. 4'!V18</f>
        <v>1</v>
      </c>
      <c r="AO45" s="545">
        <f>16.28*AN45/100</f>
        <v>0.1628</v>
      </c>
      <c r="AP45" s="545">
        <f>'Свод по прилож. 4'!V21</f>
        <v>1</v>
      </c>
      <c r="AQ45" s="545">
        <f>16.28*AP45/100</f>
        <v>0.1628</v>
      </c>
      <c r="AR45" s="545">
        <f>'Свод по прилож. 4'!V22</f>
        <v>1</v>
      </c>
      <c r="AS45" s="545">
        <f>16.28*AR45/100</f>
        <v>0.1628</v>
      </c>
      <c r="AT45" s="545">
        <f>'Свод по прилож. 4'!V24</f>
        <v>1</v>
      </c>
      <c r="AU45" s="545">
        <f>16.28*AT45/100</f>
        <v>0.1628</v>
      </c>
      <c r="AV45" s="545">
        <f>'Свод по прилож. 4'!V23</f>
        <v>1</v>
      </c>
      <c r="AW45" s="545">
        <f>16.28*AV45/100</f>
        <v>0.1628</v>
      </c>
      <c r="AX45" s="545">
        <f>'Свод по прилож. 4'!V32</f>
        <v>1</v>
      </c>
      <c r="AY45" s="545">
        <f>16.28*AX45/100</f>
        <v>0.1628</v>
      </c>
      <c r="AZ45" s="545">
        <f>'Свод по прилож. 4'!V33</f>
        <v>1</v>
      </c>
      <c r="BA45" s="545">
        <f>16.28*AZ45/100</f>
        <v>0.1628</v>
      </c>
      <c r="BB45" s="545">
        <f>'Свод по прилож. 4'!V34</f>
        <v>0</v>
      </c>
      <c r="BC45" s="545">
        <f>16.28*BB45/100</f>
        <v>0</v>
      </c>
      <c r="BD45" s="545">
        <f>'Свод по прилож. 4'!V35</f>
        <v>1</v>
      </c>
      <c r="BE45" s="545">
        <f>16.28*BD45/100</f>
        <v>0.1628</v>
      </c>
      <c r="BF45" s="545">
        <f>'Свод по прилож. 4'!V37</f>
        <v>1</v>
      </c>
      <c r="BG45" s="545">
        <f>16.28*BF45/100</f>
        <v>0.1628</v>
      </c>
      <c r="BH45" s="545">
        <f>'Свод по прилож. 4'!V38</f>
        <v>1</v>
      </c>
      <c r="BI45" s="545">
        <f>16.28*BH45/100</f>
        <v>0.1628</v>
      </c>
      <c r="BJ45" s="545">
        <f>'Свод по прилож. 4'!V36</f>
        <v>1</v>
      </c>
      <c r="BK45" s="545">
        <f>16.28*BJ45/100</f>
        <v>0.1628</v>
      </c>
      <c r="BL45" s="368" t="s">
        <v>103</v>
      </c>
      <c r="BM45" s="543"/>
    </row>
    <row r="46" spans="1:65" ht="168.6" customHeight="1" x14ac:dyDescent="0.25">
      <c r="A46" s="544" t="s">
        <v>104</v>
      </c>
      <c r="B46" s="361" t="s">
        <v>5</v>
      </c>
      <c r="C46" s="388">
        <v>14</v>
      </c>
      <c r="D46" s="545">
        <f>'Свод по прилож. 4'!Z9</f>
        <v>1</v>
      </c>
      <c r="E46" s="545">
        <f>16.28*D46/100</f>
        <v>0.1628</v>
      </c>
      <c r="F46" s="545">
        <f>'Свод по прилож. 4'!Z11</f>
        <v>0</v>
      </c>
      <c r="G46" s="545">
        <f>16.28*F46/100</f>
        <v>0</v>
      </c>
      <c r="H46" s="545">
        <f>'Свод по прилож. 4'!Z20</f>
        <v>1</v>
      </c>
      <c r="I46" s="545">
        <f>16.28*H46/100</f>
        <v>0.1628</v>
      </c>
      <c r="J46" s="545">
        <f>'Свод по прилож. 4'!Z25</f>
        <v>1</v>
      </c>
      <c r="K46" s="545">
        <f>16.28*J46/100</f>
        <v>0.1628</v>
      </c>
      <c r="L46" s="545">
        <f>'Свод по прилож. 4'!Z26</f>
        <v>1</v>
      </c>
      <c r="M46" s="545">
        <f>16.28*L46/100</f>
        <v>0.1628</v>
      </c>
      <c r="N46" s="545">
        <f>'Свод по прилож. 4'!Z28</f>
        <v>1</v>
      </c>
      <c r="O46" s="545">
        <f>16.28*N46/100</f>
        <v>0.1628</v>
      </c>
      <c r="P46" s="545">
        <f>'Свод по прилож. 4'!Z30</f>
        <v>1</v>
      </c>
      <c r="Q46" s="545">
        <f>16.28*P46/100</f>
        <v>0.1628</v>
      </c>
      <c r="R46" s="545">
        <f>'Свод по прилож. 4'!Z27</f>
        <v>1</v>
      </c>
      <c r="S46" s="545">
        <f>16.28*R46/100</f>
        <v>0.1628</v>
      </c>
      <c r="T46" s="545">
        <f>'Свод по прилож. 4'!Z31</f>
        <v>1</v>
      </c>
      <c r="U46" s="545">
        <f>16.28*T46/100</f>
        <v>0.1628</v>
      </c>
      <c r="V46" s="545">
        <f>'Свод по прилож. 4'!Z29</f>
        <v>1</v>
      </c>
      <c r="W46" s="545">
        <f>16.28*V46/100</f>
        <v>0.1628</v>
      </c>
      <c r="X46" s="545">
        <f>'Свод по прилож. 4'!Z14</f>
        <v>1</v>
      </c>
      <c r="Y46" s="545">
        <f>16.28*X46/100</f>
        <v>0.1628</v>
      </c>
      <c r="Z46" s="545">
        <f>'Свод по прилож. 4'!Z15</f>
        <v>0</v>
      </c>
      <c r="AA46" s="545">
        <f>16.28*Z46/100</f>
        <v>0</v>
      </c>
      <c r="AB46" s="545">
        <f>'Свод по прилож. 4'!Z13</f>
        <v>1</v>
      </c>
      <c r="AC46" s="545">
        <f>16.28*AB46/100</f>
        <v>0.1628</v>
      </c>
      <c r="AD46" s="545">
        <f>'Свод по прилож. 4'!Z17</f>
        <v>0</v>
      </c>
      <c r="AE46" s="545">
        <f t="shared" si="22"/>
        <v>0</v>
      </c>
      <c r="AF46" s="545">
        <f>'Свод по прилож. 4'!Z10</f>
        <v>1</v>
      </c>
      <c r="AG46" s="545">
        <f>16.28*AF46/100</f>
        <v>0.1628</v>
      </c>
      <c r="AH46" s="545">
        <f>'Свод по прилож. 4'!Z19</f>
        <v>1</v>
      </c>
      <c r="AI46" s="545">
        <f t="shared" si="23"/>
        <v>0.14000000000000001</v>
      </c>
      <c r="AJ46" s="545">
        <f>'Свод по прилож. 4'!Z16</f>
        <v>1</v>
      </c>
      <c r="AK46" s="545">
        <f t="shared" si="24"/>
        <v>0.14000000000000001</v>
      </c>
      <c r="AL46" s="545">
        <f>'Свод по прилож. 4'!Z12</f>
        <v>1</v>
      </c>
      <c r="AM46" s="545">
        <f>16.28*AL46/100</f>
        <v>0.1628</v>
      </c>
      <c r="AN46" s="545">
        <f>'Свод по прилож. 4'!Z18</f>
        <v>1</v>
      </c>
      <c r="AO46" s="545">
        <f>16.28*AN46/100</f>
        <v>0.1628</v>
      </c>
      <c r="AP46" s="545">
        <f>'Свод по прилож. 4'!Z21</f>
        <v>1</v>
      </c>
      <c r="AQ46" s="545">
        <f>16.28*AP46/100</f>
        <v>0.1628</v>
      </c>
      <c r="AR46" s="545">
        <f>'Свод по прилож. 4'!Z22</f>
        <v>1</v>
      </c>
      <c r="AS46" s="545">
        <f>16.28*AR46/100</f>
        <v>0.1628</v>
      </c>
      <c r="AT46" s="545">
        <f>'Свод по прилож. 4'!Z24</f>
        <v>1</v>
      </c>
      <c r="AU46" s="545">
        <f>16.28*AT46/100</f>
        <v>0.1628</v>
      </c>
      <c r="AV46" s="545">
        <f>'Свод по прилож. 4'!Z23</f>
        <v>1</v>
      </c>
      <c r="AW46" s="545">
        <f>16.28*AV46/100</f>
        <v>0.1628</v>
      </c>
      <c r="AX46" s="545">
        <f>'Свод по прилож. 4'!Z32</f>
        <v>1</v>
      </c>
      <c r="AY46" s="545">
        <f>16.28*AX46/100</f>
        <v>0.1628</v>
      </c>
      <c r="AZ46" s="545">
        <f>'Свод по прилож. 4'!Z33</f>
        <v>1</v>
      </c>
      <c r="BA46" s="545">
        <f>16.28*AZ46/100</f>
        <v>0.1628</v>
      </c>
      <c r="BB46" s="545">
        <f>'Свод по прилож. 4'!Z34</f>
        <v>0</v>
      </c>
      <c r="BC46" s="545">
        <f>16.28*BB46/100</f>
        <v>0</v>
      </c>
      <c r="BD46" s="545">
        <f>'Свод по прилож. 4'!Z35</f>
        <v>1</v>
      </c>
      <c r="BE46" s="545">
        <f>16.28*BD46/100</f>
        <v>0.1628</v>
      </c>
      <c r="BF46" s="545">
        <f>'Свод по прилож. 4'!Z37</f>
        <v>1</v>
      </c>
      <c r="BG46" s="545">
        <f>16.28*BF46/100</f>
        <v>0.1628</v>
      </c>
      <c r="BH46" s="545">
        <f>'Свод по прилож. 4'!Z38</f>
        <v>1</v>
      </c>
      <c r="BI46" s="545">
        <f>16.28*BH46/100</f>
        <v>0.1628</v>
      </c>
      <c r="BJ46" s="545">
        <f>'Свод по прилож. 4'!Z36</f>
        <v>1</v>
      </c>
      <c r="BK46" s="545">
        <f>16.28*BJ46/100</f>
        <v>0.1628</v>
      </c>
      <c r="BL46" s="368" t="s">
        <v>105</v>
      </c>
      <c r="BM46" s="543"/>
    </row>
    <row r="47" spans="1:65" ht="180.75" customHeight="1" x14ac:dyDescent="0.25">
      <c r="A47" s="544" t="s">
        <v>135</v>
      </c>
      <c r="B47" s="361" t="s">
        <v>6</v>
      </c>
      <c r="C47" s="388">
        <v>28</v>
      </c>
      <c r="D47" s="545">
        <f>'Свод по прилож. 4'!AC9</f>
        <v>1</v>
      </c>
      <c r="E47" s="545">
        <f>32.56*D47/100</f>
        <v>0.3256</v>
      </c>
      <c r="F47" s="545">
        <f>'Свод по прилож. 4'!AC11</f>
        <v>1</v>
      </c>
      <c r="G47" s="545">
        <f>32.56*F47/100</f>
        <v>0.3256</v>
      </c>
      <c r="H47" s="545">
        <f>'Свод по прилож. 4'!AC20</f>
        <v>1</v>
      </c>
      <c r="I47" s="545">
        <f>32.56*H47/100</f>
        <v>0.3256</v>
      </c>
      <c r="J47" s="545">
        <f>'Свод по прилож. 4'!AC25</f>
        <v>0</v>
      </c>
      <c r="K47" s="545">
        <f>32.56*J47/100</f>
        <v>0</v>
      </c>
      <c r="L47" s="545">
        <f>'Свод по прилож. 4'!AC26</f>
        <v>1</v>
      </c>
      <c r="M47" s="545">
        <f>32.56*L47/100</f>
        <v>0.3256</v>
      </c>
      <c r="N47" s="545">
        <f>'Свод по прилож. 4'!AC28</f>
        <v>1</v>
      </c>
      <c r="O47" s="545">
        <f>32.56*N47/100</f>
        <v>0.3256</v>
      </c>
      <c r="P47" s="545">
        <f>'Свод по прилож. 4'!AC30</f>
        <v>1</v>
      </c>
      <c r="Q47" s="545">
        <f>32.56*P47/100</f>
        <v>0.3256</v>
      </c>
      <c r="R47" s="545">
        <f>'Свод по прилож. 4'!AC27</f>
        <v>1</v>
      </c>
      <c r="S47" s="545">
        <f>32.56*R47/100</f>
        <v>0.3256</v>
      </c>
      <c r="T47" s="545">
        <f>'Свод по прилож. 4'!AC31</f>
        <v>1</v>
      </c>
      <c r="U47" s="545">
        <f>32.56*T47/100</f>
        <v>0.3256</v>
      </c>
      <c r="V47" s="545">
        <f>'Свод по прилож. 4'!AC29</f>
        <v>1</v>
      </c>
      <c r="W47" s="545">
        <f>32.56*V47/100</f>
        <v>0.3256</v>
      </c>
      <c r="X47" s="545">
        <f>'Свод по прилож. 4'!AC14</f>
        <v>1</v>
      </c>
      <c r="Y47" s="545">
        <f>32.56*X47/100</f>
        <v>0.3256</v>
      </c>
      <c r="Z47" s="545">
        <f>'Свод по прилож. 4'!AC15</f>
        <v>1</v>
      </c>
      <c r="AA47" s="545">
        <f>32.56*Z47/100</f>
        <v>0.3256</v>
      </c>
      <c r="AB47" s="545">
        <f>'Свод по прилож. 4'!AC13</f>
        <v>1</v>
      </c>
      <c r="AC47" s="545">
        <f>32.56*AB47/100</f>
        <v>0.3256</v>
      </c>
      <c r="AD47" s="545">
        <f>'Свод по прилож. 4'!AC17</f>
        <v>1</v>
      </c>
      <c r="AE47" s="545">
        <f t="shared" si="22"/>
        <v>0.28000000000000003</v>
      </c>
      <c r="AF47" s="545">
        <f>'Свод по прилож. 4'!AC10</f>
        <v>1</v>
      </c>
      <c r="AG47" s="545">
        <f>32.56*AF47/100</f>
        <v>0.3256</v>
      </c>
      <c r="AH47" s="545">
        <f>'Свод по прилож. 4'!AC19</f>
        <v>1</v>
      </c>
      <c r="AI47" s="545">
        <f t="shared" si="23"/>
        <v>0.28000000000000003</v>
      </c>
      <c r="AJ47" s="545">
        <f>'Свод по прилож. 4'!AC16</f>
        <v>1</v>
      </c>
      <c r="AK47" s="545">
        <f t="shared" si="24"/>
        <v>0.28000000000000003</v>
      </c>
      <c r="AL47" s="545">
        <f>'Свод по прилож. 4'!AC12</f>
        <v>1</v>
      </c>
      <c r="AM47" s="545">
        <f>32.56*AL47/100</f>
        <v>0.3256</v>
      </c>
      <c r="AN47" s="545">
        <f>'Свод по прилож. 4'!AC18</f>
        <v>1</v>
      </c>
      <c r="AO47" s="545">
        <f>32.56*AN47/100</f>
        <v>0.3256</v>
      </c>
      <c r="AP47" s="545">
        <f>'Свод по прилож. 4'!AC21</f>
        <v>0</v>
      </c>
      <c r="AQ47" s="545">
        <f>32.56*AP47/100</f>
        <v>0</v>
      </c>
      <c r="AR47" s="545">
        <f>'Свод по прилож. 4'!AC22</f>
        <v>1</v>
      </c>
      <c r="AS47" s="545">
        <f>32.56*AR47/100</f>
        <v>0.3256</v>
      </c>
      <c r="AT47" s="545">
        <f>'Свод по прилож. 4'!AC24</f>
        <v>1</v>
      </c>
      <c r="AU47" s="545">
        <f>32.56*AT47/100</f>
        <v>0.3256</v>
      </c>
      <c r="AV47" s="545">
        <f>'Свод по прилож. 4'!AC23</f>
        <v>1</v>
      </c>
      <c r="AW47" s="545">
        <f>32.56*AV47/100</f>
        <v>0.3256</v>
      </c>
      <c r="AX47" s="545">
        <f>'Свод по прилож. 4'!AC32</f>
        <v>1</v>
      </c>
      <c r="AY47" s="545">
        <f>32.56*AX47/100</f>
        <v>0.3256</v>
      </c>
      <c r="AZ47" s="545">
        <f>'Свод по прилож. 4'!AC33</f>
        <v>1</v>
      </c>
      <c r="BA47" s="545">
        <f>32.56*AZ47/100</f>
        <v>0.3256</v>
      </c>
      <c r="BB47" s="545">
        <f>'Свод по прилож. 4'!AC34</f>
        <v>1</v>
      </c>
      <c r="BC47" s="545">
        <f>32.56*BB47/100</f>
        <v>0.3256</v>
      </c>
      <c r="BD47" s="545">
        <f>'Свод по прилож. 4'!AC35</f>
        <v>1</v>
      </c>
      <c r="BE47" s="545">
        <f>32.56*BD47/100</f>
        <v>0.3256</v>
      </c>
      <c r="BF47" s="545">
        <f>'Свод по прилож. 4'!AC37</f>
        <v>1</v>
      </c>
      <c r="BG47" s="545">
        <f>32.56*BF47/100</f>
        <v>0.3256</v>
      </c>
      <c r="BH47" s="545">
        <f>'Свод по прилож. 4'!AC38</f>
        <v>1</v>
      </c>
      <c r="BI47" s="545">
        <f>32.56*BH47/100</f>
        <v>0.3256</v>
      </c>
      <c r="BJ47" s="545">
        <f>'Свод по прилож. 4'!AC36</f>
        <v>1</v>
      </c>
      <c r="BK47" s="545">
        <f>32.56*BJ47/100</f>
        <v>0.3256</v>
      </c>
      <c r="BL47" s="368" t="s">
        <v>477</v>
      </c>
      <c r="BM47" s="543"/>
    </row>
    <row r="48" spans="1:65" ht="214.9" customHeight="1" x14ac:dyDescent="0.25">
      <c r="A48" s="546" t="s">
        <v>136</v>
      </c>
      <c r="B48" s="363" t="s">
        <v>5</v>
      </c>
      <c r="C48" s="389">
        <v>16</v>
      </c>
      <c r="D48" s="547">
        <f>'приложение 8'!J70</f>
        <v>0.96084182249989725</v>
      </c>
      <c r="E48" s="548">
        <f>18.6*D48/100</f>
        <v>0.17871657898498089</v>
      </c>
      <c r="F48" s="547">
        <f>'приложение 8'!J71</f>
        <v>0.36104423168286548</v>
      </c>
      <c r="G48" s="545">
        <f>18.6*F48/100</f>
        <v>6.7154227093012983E-2</v>
      </c>
      <c r="H48" s="547">
        <f>'приложение 8'!J72</f>
        <v>1</v>
      </c>
      <c r="I48" s="545">
        <f>18.6*H48/100</f>
        <v>0.18600000000000003</v>
      </c>
      <c r="J48" s="547">
        <f>'приложение 8'!J73</f>
        <v>0</v>
      </c>
      <c r="K48" s="548">
        <f>18.6*J48/100</f>
        <v>0</v>
      </c>
      <c r="L48" s="548">
        <f>'приложение 8'!J74</f>
        <v>1</v>
      </c>
      <c r="M48" s="545">
        <f>18.6*L48/100</f>
        <v>0.18600000000000003</v>
      </c>
      <c r="N48" s="547">
        <f>'приложение 8'!J75</f>
        <v>1</v>
      </c>
      <c r="O48" s="545">
        <f>18.6*N48/100</f>
        <v>0.18600000000000003</v>
      </c>
      <c r="P48" s="548">
        <f>'приложение 8'!J76</f>
        <v>1</v>
      </c>
      <c r="Q48" s="545">
        <f>18.6*P48/100</f>
        <v>0.18600000000000003</v>
      </c>
      <c r="R48" s="547">
        <f>'приложение 8'!J77</f>
        <v>0.93232341272567132</v>
      </c>
      <c r="S48" s="545">
        <f>18.6*R48/100</f>
        <v>0.17341215476697489</v>
      </c>
      <c r="T48" s="547">
        <f>'приложение 8'!J78</f>
        <v>1</v>
      </c>
      <c r="U48" s="545">
        <f>18.6*T48/100</f>
        <v>0.18600000000000003</v>
      </c>
      <c r="V48" s="547">
        <f>'приложение 8'!J79</f>
        <v>1</v>
      </c>
      <c r="W48" s="545">
        <f>18.6*V48/100</f>
        <v>0.18600000000000003</v>
      </c>
      <c r="X48" s="548">
        <f>'приложение 8'!J80</f>
        <v>1</v>
      </c>
      <c r="Y48" s="545">
        <f>18.6*X48/100</f>
        <v>0.18600000000000003</v>
      </c>
      <c r="Z48" s="548">
        <f>'приложение 8'!J81</f>
        <v>0.99038166105125991</v>
      </c>
      <c r="AA48" s="545">
        <f>18.6*Z48/100</f>
        <v>0.18421098895553434</v>
      </c>
      <c r="AB48" s="548">
        <f>'приложение 8'!J82</f>
        <v>1</v>
      </c>
      <c r="AC48" s="545">
        <f>18.6*AB48/100</f>
        <v>0.18600000000000003</v>
      </c>
      <c r="AD48" s="548">
        <f>'приложение 8'!J83</f>
        <v>0.93784665702055825</v>
      </c>
      <c r="AE48" s="545">
        <f t="shared" si="22"/>
        <v>0.15005546512328932</v>
      </c>
      <c r="AF48" s="548">
        <f>'приложение 8'!J84</f>
        <v>1</v>
      </c>
      <c r="AG48" s="545">
        <f>18.6*AF48/100</f>
        <v>0.18600000000000003</v>
      </c>
      <c r="AH48" s="548">
        <f>'приложение 8'!J85</f>
        <v>1</v>
      </c>
      <c r="AI48" s="545">
        <f t="shared" si="23"/>
        <v>0.16</v>
      </c>
      <c r="AJ48" s="548">
        <f>'приложение 8'!J86</f>
        <v>1</v>
      </c>
      <c r="AK48" s="545">
        <f t="shared" si="24"/>
        <v>0.16</v>
      </c>
      <c r="AL48" s="548">
        <f>'приложение 8'!J87</f>
        <v>1</v>
      </c>
      <c r="AM48" s="545">
        <f>18.6*AL48/100</f>
        <v>0.18600000000000003</v>
      </c>
      <c r="AN48" s="548">
        <f>'приложение 8'!J88</f>
        <v>1</v>
      </c>
      <c r="AO48" s="545">
        <f>18.6*AN48/100</f>
        <v>0.18600000000000003</v>
      </c>
      <c r="AP48" s="548">
        <f>'приложение 8'!J89</f>
        <v>0</v>
      </c>
      <c r="AQ48" s="545">
        <f>18.6*AP48/100</f>
        <v>0</v>
      </c>
      <c r="AR48" s="548">
        <f>'приложение 8'!J90</f>
        <v>1</v>
      </c>
      <c r="AS48" s="545">
        <f>18.6*AR48/100</f>
        <v>0.18600000000000003</v>
      </c>
      <c r="AT48" s="548">
        <f>'приложение 8'!J91</f>
        <v>1</v>
      </c>
      <c r="AU48" s="545">
        <f>18.6*AT48/100</f>
        <v>0.18600000000000003</v>
      </c>
      <c r="AV48" s="548">
        <f>'приложение 8'!J92</f>
        <v>0</v>
      </c>
      <c r="AW48" s="545">
        <f>18.6*AV48/100</f>
        <v>0</v>
      </c>
      <c r="AX48" s="548">
        <f>'приложение 8'!J93</f>
        <v>1</v>
      </c>
      <c r="AY48" s="545">
        <f>18.6*AX48/100</f>
        <v>0.18600000000000003</v>
      </c>
      <c r="AZ48" s="548">
        <f>'приложение 8'!J94</f>
        <v>1</v>
      </c>
      <c r="BA48" s="545">
        <f>18.6*AZ48/100</f>
        <v>0.18600000000000003</v>
      </c>
      <c r="BB48" s="548">
        <f>'приложение 8'!J95</f>
        <v>0.31894960743220002</v>
      </c>
      <c r="BC48" s="545">
        <f>18.6*BB48/100</f>
        <v>5.932462698238921E-2</v>
      </c>
      <c r="BD48" s="548">
        <f>'приложение 8'!J96</f>
        <v>1</v>
      </c>
      <c r="BE48" s="545">
        <f>18.6*BD48/100</f>
        <v>0.18600000000000003</v>
      </c>
      <c r="BF48" s="548">
        <f>'приложение 8'!J97</f>
        <v>1</v>
      </c>
      <c r="BG48" s="545">
        <f>18.6*BF48/100</f>
        <v>0.18600000000000003</v>
      </c>
      <c r="BH48" s="548">
        <f>'приложение 8'!J98</f>
        <v>1</v>
      </c>
      <c r="BI48" s="545">
        <f>18.6*BH48/100</f>
        <v>0.18600000000000003</v>
      </c>
      <c r="BJ48" s="548">
        <f>'приложение 8'!J99</f>
        <v>1</v>
      </c>
      <c r="BK48" s="545">
        <f>18.6*BJ48/100</f>
        <v>0.18600000000000003</v>
      </c>
      <c r="BL48" s="495" t="s">
        <v>478</v>
      </c>
      <c r="BM48" s="543"/>
    </row>
    <row r="49" spans="1:65" ht="60" customHeight="1" x14ac:dyDescent="0.25">
      <c r="A49" s="628" t="s">
        <v>204</v>
      </c>
      <c r="B49" s="628"/>
      <c r="C49" s="393">
        <v>20</v>
      </c>
      <c r="D49" s="379"/>
      <c r="E49" s="379">
        <f>C49*(E50+E51+E52+E53+E54+E55+E56+E57+E61+E58+E59+E60+E61)</f>
        <v>14.885145829768934</v>
      </c>
      <c r="F49" s="379"/>
      <c r="G49" s="379">
        <f>C49*(G50+G51+G52+G53+G54+G55+G56+G57+G61+G58+G59+G60+G61)</f>
        <v>23.525999999999996</v>
      </c>
      <c r="H49" s="379"/>
      <c r="I49" s="379">
        <f>C49*(I50+I51+I52+I53+I54+I55+I56+I57+I58+I59+I60+I61)</f>
        <v>25.478792488704958</v>
      </c>
      <c r="J49" s="379"/>
      <c r="K49" s="379">
        <f>C49*(K50+K51+K52+K53+K54+K55+K56+K57+K61+K58+K59+K60+K61)</f>
        <v>14.505221527941822</v>
      </c>
      <c r="L49" s="379"/>
      <c r="M49" s="379">
        <f>C49*(M50+M51+M52+M53+M54+M55+M56+M57+M61+M58+M59+M60+M61)</f>
        <v>14.546000000000001</v>
      </c>
      <c r="N49" s="379"/>
      <c r="O49" s="379">
        <f>C49*(O50+O51+O52+O53+O54+O55+O56+O57+O58+O59+O60+O61)</f>
        <v>14.546000000000001</v>
      </c>
      <c r="P49" s="379"/>
      <c r="Q49" s="379">
        <f>C49*(Q50+Q51+Q52+Q53+Q54+Q55+Q56+Q57+Q61+Q58+Q59+Q60+Q61)</f>
        <v>14.546000000000001</v>
      </c>
      <c r="R49" s="379"/>
      <c r="S49" s="379">
        <f>C49*(S50+S51+S52+S53+S54+S55+S56+S57+S61+S58+S59+S60+S61)</f>
        <v>14.546000000000001</v>
      </c>
      <c r="T49" s="379"/>
      <c r="U49" s="379">
        <f>C49*(U50+U51+U52+U53+U54+U55+U56+U57+U61+U58+U59+U60+U61)</f>
        <v>14.546000000000001</v>
      </c>
      <c r="V49" s="379"/>
      <c r="W49" s="379">
        <f>C49*(W50+W51+W52+W53+W54+W55+W56+W57+W61+W58+W59+W60+W61)</f>
        <v>14.546000000000001</v>
      </c>
      <c r="X49" s="379"/>
      <c r="Y49" s="379">
        <f>C49*(Y50+Y51+Y52+Y53+Y54+Y55+Y56+Y57+Y58+Y59+Y60+Y61)</f>
        <v>0</v>
      </c>
      <c r="Z49" s="379"/>
      <c r="AA49" s="379">
        <f>C49*(AA50+AA51+AA52+AA53+AA54+AA55+AA56+AA57+AA58+AA59+AA60+AA61)</f>
        <v>14.352371598507176</v>
      </c>
      <c r="AB49" s="379"/>
      <c r="AC49" s="379">
        <f>C49*(AC50+AC51+AC52+AC53+AC54+AC55+AC56+AC57+AC58+AC59+AC60+AC61)</f>
        <v>4.5488742929892574</v>
      </c>
      <c r="AD49" s="379"/>
      <c r="AE49" s="379">
        <f>C49*(AE50+AE51+AE52+AE53+AE54+AE55+AE56+AE57+AE58+AE59+AE60+AE61)</f>
        <v>17.618455398788026</v>
      </c>
      <c r="AF49" s="379"/>
      <c r="AG49" s="379">
        <f>C49*(AG50+AG51+AG52+AG53+AG54+AG55+AG56+AG57+AG58+AG59+AG60+AG61)</f>
        <v>10.078214901634293</v>
      </c>
      <c r="AH49" s="379"/>
      <c r="AI49" s="379">
        <f>C49*(AI50+AI51+AI52+AI53+AI54+AI55+AI56+AI57+AI58+AI59+AI60+AI61)</f>
        <v>15.016096633135</v>
      </c>
      <c r="AJ49" s="379"/>
      <c r="AK49" s="379">
        <f>C49*(AK50+AK51+AK52+AK53+AK54+AK55+AK56+AK57+AK58+AK59+AK60+AK61)</f>
        <v>16.562597314215648</v>
      </c>
      <c r="AL49" s="379"/>
      <c r="AM49" s="379">
        <f>C49*(AM50+AM51+AM52+AM53+AM54+AM55+AM56+AM57+AM58+AM59+AM60+AM61)</f>
        <v>0</v>
      </c>
      <c r="AN49" s="379"/>
      <c r="AO49" s="379">
        <f>C49*(AO50+AO51+AO52+AO53+AO54+AO55+AO56+AO57+AO58+AO59+AO60+AO61)</f>
        <v>14.91252137127568</v>
      </c>
      <c r="AP49" s="379"/>
      <c r="AQ49" s="379">
        <f>C49*(AQ50+AQ51+AQ52+AQ53+AQ54+AQ55+AQ56+AQ57+AQ58+AQ59+AQ60+AQ61)</f>
        <v>0</v>
      </c>
      <c r="AR49" s="379"/>
      <c r="AS49" s="379">
        <f>C49*(AS50+AS51+AS52+AS53+AS54+AS55+AS56+AS57+AS58+AS59+AS60+AS61)</f>
        <v>0</v>
      </c>
      <c r="AT49" s="379"/>
      <c r="AU49" s="379">
        <f>C49*(AU50+AU51+AU52+AU53+AU54+AU55+AU56+AU57+AU58+AU59+AU60+AU61)</f>
        <v>0</v>
      </c>
      <c r="AV49" s="379"/>
      <c r="AW49" s="379">
        <f>C49*(AW50+AW51+AW52+AW53+AW54+AW55+AW56+AW57+AW58+AW59+AW60+AW61)</f>
        <v>8.4883942964828591</v>
      </c>
      <c r="AX49" s="379"/>
      <c r="AY49" s="379">
        <f>C49*(AY50+AY51+AY52+AY53+AY54+AY55+AY56+AY57+AY58+AY59+AY60+AY61)</f>
        <v>1.5657809882747071</v>
      </c>
      <c r="AZ49" s="379"/>
      <c r="BA49" s="379">
        <f>C49*(BA50+BA51+BA52+BA53+BA54+BA55+BA56+BA57+BA58+BA59+BA60+BA61)</f>
        <v>2.027613225349898</v>
      </c>
      <c r="BB49" s="379"/>
      <c r="BC49" s="379">
        <f>C49*(BC50+BC51+BC52+BC53+BC54+BC55+BC56+BC57+BC58+BC59+BC60+BC61)</f>
        <v>3.6196603779212837</v>
      </c>
      <c r="BD49" s="379"/>
      <c r="BE49" s="379">
        <f>C49*(BE50+BE51+BE52+BE53+BE54+BE55+BE56+BE57+BE58+BE59+BE60+BE61)</f>
        <v>1.992393690522748</v>
      </c>
      <c r="BF49" s="379"/>
      <c r="BG49" s="379">
        <f>C49*(BG50+BG51+BG52+BG53+BG54+BG55+BG56+BG57+BG58+BG59+BG60+BG61)</f>
        <v>3.581090377694947</v>
      </c>
      <c r="BH49" s="379"/>
      <c r="BI49" s="379">
        <f>C49*(BI50+BI51+BI52+BI53+BI54+BI55+BI56+BI57+BI58+BI59+BI60+BI61)</f>
        <v>3.8416969183746379</v>
      </c>
      <c r="BJ49" s="379"/>
      <c r="BK49" s="379">
        <f>C49*(BK50+BK51+BK52+BK53+BK54+BK55+BK56+BK57+BK58+BK59+BK60+BK61)</f>
        <v>7.0604820372288906</v>
      </c>
      <c r="BL49" s="494"/>
      <c r="BM49" s="543">
        <f t="shared" si="21"/>
        <v>16.567115984641571</v>
      </c>
    </row>
    <row r="50" spans="1:65" ht="108" customHeight="1" x14ac:dyDescent="0.25">
      <c r="A50" s="354" t="s">
        <v>205</v>
      </c>
      <c r="B50" s="355" t="s">
        <v>5</v>
      </c>
      <c r="C50" s="356">
        <v>5</v>
      </c>
      <c r="D50" s="219">
        <f>'свод по прилож. 1,2'!E22/100</f>
        <v>0.20340887546876663</v>
      </c>
      <c r="E50" s="219">
        <f>14.71*D50/100</f>
        <v>2.9921445581455569E-2</v>
      </c>
      <c r="F50" s="219">
        <f>'свод по прилож. 1,2'!F22/100</f>
        <v>1</v>
      </c>
      <c r="G50" s="219">
        <f>14.71*F50/100</f>
        <v>0.14710000000000001</v>
      </c>
      <c r="H50" s="219">
        <f>'свод по прилож. 1,2'!G22/100</f>
        <v>0.82652799039869773</v>
      </c>
      <c r="I50" s="219">
        <f>22.73*H50/100</f>
        <v>0.187869812217624</v>
      </c>
      <c r="J50" s="219">
        <f>'свод по прилож. 1,2'!H22/100</f>
        <v>1</v>
      </c>
      <c r="K50" s="219">
        <f>22.73*J50/100</f>
        <v>0.2273</v>
      </c>
      <c r="L50" s="219">
        <f>'свод по прилож. 1,2'!I22/100</f>
        <v>1</v>
      </c>
      <c r="M50" s="219">
        <f>22.73*L50/100</f>
        <v>0.2273</v>
      </c>
      <c r="N50" s="219">
        <f>'свод по прилож. 1,2'!J22/100</f>
        <v>1</v>
      </c>
      <c r="O50" s="219">
        <f>22.73*N50/100</f>
        <v>0.2273</v>
      </c>
      <c r="P50" s="219">
        <f>'свод по прилож. 1,2'!K22/100</f>
        <v>1</v>
      </c>
      <c r="Q50" s="219">
        <f>22.73*P50/100</f>
        <v>0.2273</v>
      </c>
      <c r="R50" s="219">
        <f>'свод по прилож. 1,2'!L22/100</f>
        <v>1</v>
      </c>
      <c r="S50" s="219">
        <f>22.73*R50/100</f>
        <v>0.2273</v>
      </c>
      <c r="T50" s="219">
        <f>'свод по прилож. 1,2'!M22/100</f>
        <v>1</v>
      </c>
      <c r="U50" s="219">
        <f>22.73*T50/100</f>
        <v>0.2273</v>
      </c>
      <c r="V50" s="219">
        <f>'свод по прилож. 1,2'!N22/100</f>
        <v>1</v>
      </c>
      <c r="W50" s="219">
        <f>22.73*V50/100</f>
        <v>0.2273</v>
      </c>
      <c r="X50" s="219">
        <f>'свод по прилож. 1,2'!O22/100</f>
        <v>0</v>
      </c>
      <c r="Y50" s="545">
        <f>22.73*X50/100</f>
        <v>0</v>
      </c>
      <c r="Z50" s="219">
        <f>'свод по прилож. 1,2'!P22/100</f>
        <v>0.99999999999999989</v>
      </c>
      <c r="AA50" s="545">
        <f>14.71*Z50/100</f>
        <v>0.14709999999999998</v>
      </c>
      <c r="AB50" s="219">
        <f>'свод по прилож. 1,2'!Q22/100</f>
        <v>1</v>
      </c>
      <c r="AC50" s="545">
        <f>22.73*AB50/100</f>
        <v>0.2273</v>
      </c>
      <c r="AD50" s="219">
        <f>'свод по прилож. 1,2'!R22/100</f>
        <v>0.93390625341336897</v>
      </c>
      <c r="AE50" s="545">
        <f t="shared" ref="AE50:AE56" si="25">C50*AD50/100</f>
        <v>4.6695312670668454E-2</v>
      </c>
      <c r="AF50" s="219">
        <f>'свод по прилож. 1,2'!S22/100</f>
        <v>1</v>
      </c>
      <c r="AG50" s="545">
        <f>22.73*AF50/100</f>
        <v>0.2273</v>
      </c>
      <c r="AH50" s="219">
        <f>'свод по прилож. 1,2'!T22/100</f>
        <v>1</v>
      </c>
      <c r="AI50" s="545">
        <f>5.95*AH50/100</f>
        <v>5.9500000000000004E-2</v>
      </c>
      <c r="AJ50" s="219">
        <f>'свод по прилож. 1,2'!U22/100</f>
        <v>0.69064932855391215</v>
      </c>
      <c r="AK50" s="545">
        <f>10*AJ50/100</f>
        <v>6.9064932855391212E-2</v>
      </c>
      <c r="AL50" s="219">
        <f>'свод по прилож. 1,2'!V22/100</f>
        <v>0</v>
      </c>
      <c r="AM50" s="545">
        <f>22.73*AL50/100</f>
        <v>0</v>
      </c>
      <c r="AN50" s="219">
        <f>'свод по прилож. 1,2'!W22/100</f>
        <v>0.73530274834732823</v>
      </c>
      <c r="AO50" s="545">
        <f>14.71*AN50/100</f>
        <v>0.10816303428189199</v>
      </c>
      <c r="AP50" s="219">
        <f>'свод по прилож. 1,2'!X22/100</f>
        <v>0</v>
      </c>
      <c r="AQ50" s="545">
        <f>22.73*AP50/100</f>
        <v>0</v>
      </c>
      <c r="AR50" s="219">
        <f>'свод по прилож. 1,2'!Y22/100</f>
        <v>0</v>
      </c>
      <c r="AS50" s="545">
        <f>22.73*AR50/100</f>
        <v>0</v>
      </c>
      <c r="AT50" s="219">
        <f>'свод по прилож. 1,2'!Z22/100</f>
        <v>0</v>
      </c>
      <c r="AU50" s="545">
        <f>22.73*AT50/100</f>
        <v>0</v>
      </c>
      <c r="AV50" s="219">
        <f>'свод по прилож. 1,2'!AA22/100</f>
        <v>0.93361133925240425</v>
      </c>
      <c r="AW50" s="545">
        <f>22.73*AV50/100</f>
        <v>0.21220985741207149</v>
      </c>
      <c r="AX50" s="219">
        <f>'свод по прилож. 1,2'!AB22/100</f>
        <v>0.17221524288107204</v>
      </c>
      <c r="AY50" s="545">
        <f>22.73*AX50/100</f>
        <v>3.9144524706867675E-2</v>
      </c>
      <c r="AZ50" s="219">
        <f>'свод по прилож. 1,2'!AC22/100</f>
        <v>0.22301069350526814</v>
      </c>
      <c r="BA50" s="545">
        <f>22.73*AZ50/100</f>
        <v>5.0690330633747449E-2</v>
      </c>
      <c r="BB50" s="219">
        <f>'свод по прилож. 1,2'!AD22/100</f>
        <v>0.39811486778720673</v>
      </c>
      <c r="BC50" s="545">
        <f>22.73*BB50/100</f>
        <v>9.0491509448032095E-2</v>
      </c>
      <c r="BD50" s="219">
        <f>'свод по прилож. 1,2'!AE22/100</f>
        <v>0.21913700951636031</v>
      </c>
      <c r="BE50" s="545">
        <f>22.73*BD50/100</f>
        <v>4.9809842263068699E-2</v>
      </c>
      <c r="BF50" s="219">
        <f>'свод по прилож. 1,2'!AF22/100</f>
        <v>0.39387267682522514</v>
      </c>
      <c r="BG50" s="545">
        <f>22.73*BF50/100</f>
        <v>8.9527259442373677E-2</v>
      </c>
      <c r="BH50" s="219">
        <f>'свод по прилож. 1,2'!AG22/100</f>
        <v>0.42253595670640542</v>
      </c>
      <c r="BI50" s="545">
        <f>22.73*BH50/100</f>
        <v>9.604242295936595E-2</v>
      </c>
      <c r="BJ50" s="219">
        <f>'свод по прилож. 1,2'!AH22/100</f>
        <v>0.77655983691474806</v>
      </c>
      <c r="BK50" s="545">
        <f>22.73*BJ50/100</f>
        <v>0.17651205093072225</v>
      </c>
      <c r="BL50" s="494" t="s">
        <v>479</v>
      </c>
      <c r="BM50" s="543">
        <f t="shared" si="21"/>
        <v>0.19559912577990798</v>
      </c>
    </row>
    <row r="51" spans="1:65" ht="141" customHeight="1" x14ac:dyDescent="0.25">
      <c r="A51" s="555" t="s">
        <v>206</v>
      </c>
      <c r="B51" s="355" t="s">
        <v>5</v>
      </c>
      <c r="C51" s="356">
        <v>5</v>
      </c>
      <c r="D51" s="219">
        <f>'свод по прилож. 1,2'!E23/100</f>
        <v>5.9387123772883438E-2</v>
      </c>
      <c r="E51" s="219">
        <f>14.71*D51/100</f>
        <v>8.7358459069911548E-3</v>
      </c>
      <c r="F51" s="219">
        <f>'свод по прилож. 1,2'!F23/100</f>
        <v>1</v>
      </c>
      <c r="G51" s="219">
        <f>14.71*F51/100</f>
        <v>0.14710000000000001</v>
      </c>
      <c r="H51" s="219">
        <f>'свод по прилож. 1,2'!G23/100</f>
        <v>0.82652799039869773</v>
      </c>
      <c r="I51" s="219">
        <f>22.73*H51/100</f>
        <v>0.187869812217624</v>
      </c>
      <c r="J51" s="219">
        <f>'свод по прилож. 1,2'!H23/100</f>
        <v>0.99102981256969258</v>
      </c>
      <c r="K51" s="219">
        <f>22.73*J51/100</f>
        <v>0.22526107639709114</v>
      </c>
      <c r="L51" s="219">
        <f>'свод по прилож. 1,2'!I23/100</f>
        <v>1</v>
      </c>
      <c r="M51" s="219">
        <f>22.73*L51/100</f>
        <v>0.2273</v>
      </c>
      <c r="N51" s="219">
        <f>'свод по прилож. 1,2'!J23/100</f>
        <v>1</v>
      </c>
      <c r="O51" s="219">
        <f>22.73*N51/100</f>
        <v>0.2273</v>
      </c>
      <c r="P51" s="219">
        <f>'свод по прилож. 1,2'!K23/100</f>
        <v>1</v>
      </c>
      <c r="Q51" s="219">
        <f>22.73*P51/100</f>
        <v>0.2273</v>
      </c>
      <c r="R51" s="219">
        <f>'свод по прилож. 1,2'!L23/100</f>
        <v>1</v>
      </c>
      <c r="S51" s="219">
        <f>22.73*R51/100</f>
        <v>0.2273</v>
      </c>
      <c r="T51" s="219">
        <f>'свод по прилож. 1,2'!M23/100</f>
        <v>1</v>
      </c>
      <c r="U51" s="219">
        <f>22.73*T51/100</f>
        <v>0.2273</v>
      </c>
      <c r="V51" s="219">
        <f>'свод по прилож. 1,2'!N23/100</f>
        <v>1</v>
      </c>
      <c r="W51" s="219">
        <f>22.73*V51/100</f>
        <v>0.2273</v>
      </c>
      <c r="X51" s="219">
        <f>'свод по прилож. 1,2'!O23/100</f>
        <v>0</v>
      </c>
      <c r="Y51" s="545">
        <f>22.73*X51/100</f>
        <v>0</v>
      </c>
      <c r="Z51" s="219">
        <f>'свод по прилож. 1,2'!P23/100</f>
        <v>0.9997184223341864</v>
      </c>
      <c r="AA51" s="545">
        <f>14.71*Z51/100</f>
        <v>0.14705857992535884</v>
      </c>
      <c r="AB51" s="219">
        <f>'свод по прилож. 1,2'!Q23/100</f>
        <v>6.3226858540628395E-4</v>
      </c>
      <c r="AC51" s="545">
        <f>22.73*AB51/100</f>
        <v>1.4371464946284833E-4</v>
      </c>
      <c r="AD51" s="219">
        <f>'свод по прилож. 1,2'!R23/100</f>
        <v>0.46369680302342575</v>
      </c>
      <c r="AE51" s="545">
        <f t="shared" si="25"/>
        <v>2.3184840151171286E-2</v>
      </c>
      <c r="AF51" s="219">
        <f>'свод по прилож. 1,2'!S23/100</f>
        <v>1.7205213733896298E-2</v>
      </c>
      <c r="AG51" s="545">
        <f>22.73*AF51/100</f>
        <v>3.9107450817146292E-3</v>
      </c>
      <c r="AH51" s="219">
        <f>'свод по прилож. 1,2'!T23/100</f>
        <v>0.184039524439785</v>
      </c>
      <c r="AI51" s="545">
        <f>5.95*AH51/100</f>
        <v>1.0950351704167208E-2</v>
      </c>
      <c r="AJ51" s="219">
        <f>'свод по прилож. 1,2'!U23/100</f>
        <v>0.69064932855391215</v>
      </c>
      <c r="AK51" s="545">
        <f>10*AJ51/100</f>
        <v>6.9064932855391212E-2</v>
      </c>
      <c r="AL51" s="219">
        <f>'свод по прилож. 1,2'!V23/100</f>
        <v>0</v>
      </c>
      <c r="AM51" s="545">
        <f>22.73*AL51/100</f>
        <v>0</v>
      </c>
      <c r="AN51" s="219">
        <f>'свод по прилож. 1,2'!W23/100</f>
        <v>0.73530274834732823</v>
      </c>
      <c r="AO51" s="545">
        <f>14.71*AN51/100</f>
        <v>0.10816303428189199</v>
      </c>
      <c r="AP51" s="219">
        <f>'свод по прилож. 1,2'!X23/100</f>
        <v>0</v>
      </c>
      <c r="AQ51" s="545">
        <f>22.73*AP51/100</f>
        <v>0</v>
      </c>
      <c r="AR51" s="219">
        <f>'свод по прилож. 1,2'!Y23/100</f>
        <v>0</v>
      </c>
      <c r="AS51" s="545">
        <f>22.73*AR51/100</f>
        <v>0</v>
      </c>
      <c r="AT51" s="219">
        <f>'свод по прилож. 1,2'!Z23/100</f>
        <v>0</v>
      </c>
      <c r="AU51" s="545">
        <f>22.73*AT51/100</f>
        <v>0</v>
      </c>
      <c r="AV51" s="219">
        <f>'свод по прилож. 1,2'!AA23/100</f>
        <v>0.93361133925240425</v>
      </c>
      <c r="AW51" s="545">
        <f>22.73*AV51/100</f>
        <v>0.21220985741207149</v>
      </c>
      <c r="AX51" s="219">
        <f>'свод по прилож. 1,2'!AB23/100</f>
        <v>0.17221524288107204</v>
      </c>
      <c r="AY51" s="545">
        <f>22.73*AX51/100</f>
        <v>3.9144524706867675E-2</v>
      </c>
      <c r="AZ51" s="219">
        <f>'свод по прилож. 1,2'!AC23/100</f>
        <v>0.22301069350526814</v>
      </c>
      <c r="BA51" s="545">
        <f>22.73*AZ51/100</f>
        <v>5.0690330633747449E-2</v>
      </c>
      <c r="BB51" s="219">
        <f>'свод по прилож. 1,2'!AD23/100</f>
        <v>0.39811486778720673</v>
      </c>
      <c r="BC51" s="545">
        <f>22.73*BB51/100</f>
        <v>9.0491509448032095E-2</v>
      </c>
      <c r="BD51" s="219">
        <f>'свод по прилож. 1,2'!AE23/100</f>
        <v>0.21913700951636031</v>
      </c>
      <c r="BE51" s="545">
        <f>22.73*BD51/100</f>
        <v>4.9809842263068699E-2</v>
      </c>
      <c r="BF51" s="219">
        <f>'свод по прилож. 1,2'!AF23/100</f>
        <v>0.39387267682522514</v>
      </c>
      <c r="BG51" s="545">
        <f>22.73*BF51/100</f>
        <v>8.9527259442373677E-2</v>
      </c>
      <c r="BH51" s="219">
        <f>'свод по прилож. 1,2'!AG23/100</f>
        <v>0.42253595670640542</v>
      </c>
      <c r="BI51" s="545">
        <f>22.73*BH51/100</f>
        <v>9.604242295936595E-2</v>
      </c>
      <c r="BJ51" s="219">
        <f>'свод по прилож. 1,2'!AH23/100</f>
        <v>0.77655983691474806</v>
      </c>
      <c r="BK51" s="545">
        <f>22.73*BJ51/100</f>
        <v>0.17651205093072225</v>
      </c>
      <c r="BL51" s="494" t="s">
        <v>480</v>
      </c>
      <c r="BM51" s="543">
        <f t="shared" si="21"/>
        <v>0.19327667345217064</v>
      </c>
    </row>
    <row r="52" spans="1:65" ht="127.5" customHeight="1" x14ac:dyDescent="0.25">
      <c r="A52" s="555" t="s">
        <v>207</v>
      </c>
      <c r="B52" s="355" t="s">
        <v>5</v>
      </c>
      <c r="C52" s="356">
        <v>5</v>
      </c>
      <c r="D52" s="219" t="str">
        <f>'Свод по прилож. 11'!E8</f>
        <v>*</v>
      </c>
      <c r="E52" s="219"/>
      <c r="F52" s="219" t="str">
        <f>'Свод по прилож. 11'!E9</f>
        <v>*</v>
      </c>
      <c r="G52" s="219"/>
      <c r="H52" s="219" t="str">
        <f>'Свод по прилож. 11'!E10</f>
        <v>*</v>
      </c>
      <c r="I52" s="219"/>
      <c r="J52" s="219" t="str">
        <f>'Свод по прилож. 11'!E11</f>
        <v>*</v>
      </c>
      <c r="K52" s="219"/>
      <c r="L52" s="219" t="str">
        <f>'Свод по прилож. 11'!E12</f>
        <v>*</v>
      </c>
      <c r="M52" s="219"/>
      <c r="N52" s="219" t="str">
        <f>'Свод по прилож. 11'!E13</f>
        <v>*</v>
      </c>
      <c r="O52" s="219"/>
      <c r="P52" s="219" t="str">
        <f>'Свод по прилож. 11'!E14</f>
        <v>*</v>
      </c>
      <c r="Q52" s="219"/>
      <c r="R52" s="219" t="str">
        <f>'Свод по прилож. 11'!E15</f>
        <v>*</v>
      </c>
      <c r="S52" s="219"/>
      <c r="T52" s="219" t="str">
        <f>'Свод по прилож. 11'!E16</f>
        <v>*</v>
      </c>
      <c r="U52" s="219"/>
      <c r="V52" s="219" t="str">
        <f>'Свод по прилож. 11'!E17</f>
        <v>*</v>
      </c>
      <c r="W52" s="219"/>
      <c r="X52" s="219" t="str">
        <f>'Свод по прилож. 11'!E18</f>
        <v>*</v>
      </c>
      <c r="Y52" s="219"/>
      <c r="Z52" s="219" t="str">
        <f>'Свод по прилож. 11'!E19</f>
        <v>*</v>
      </c>
      <c r="AA52" s="219"/>
      <c r="AB52" s="219" t="str">
        <f>'Свод по прилож. 11'!E20</f>
        <v>*</v>
      </c>
      <c r="AC52" s="219"/>
      <c r="AD52" s="219">
        <f>'Свод по прилож. 11'!E21</f>
        <v>1</v>
      </c>
      <c r="AE52" s="545">
        <f t="shared" si="25"/>
        <v>0.05</v>
      </c>
      <c r="AF52" s="219" t="str">
        <f>'Свод по прилож. 11'!E22</f>
        <v>*</v>
      </c>
      <c r="AG52" s="219"/>
      <c r="AH52" s="219" t="str">
        <f>'Свод по прилож. 11'!E23</f>
        <v>*</v>
      </c>
      <c r="AI52" s="545"/>
      <c r="AJ52" s="219">
        <f>'Свод по прилож. 11'!E24</f>
        <v>1</v>
      </c>
      <c r="AK52" s="545">
        <f>10*AJ52/100</f>
        <v>0.1</v>
      </c>
      <c r="AL52" s="219" t="str">
        <f>'Свод по прилож. 11'!E25</f>
        <v>*</v>
      </c>
      <c r="AM52" s="545"/>
      <c r="AN52" s="219" t="str">
        <f>'Свод по прилож. 11'!E26</f>
        <v>*</v>
      </c>
      <c r="AO52" s="219"/>
      <c r="AP52" s="219" t="str">
        <f>'Свод по прилож. 11'!E27</f>
        <v>*</v>
      </c>
      <c r="AQ52" s="219"/>
      <c r="AR52" s="219" t="str">
        <f>'Свод по прилож. 11'!E28</f>
        <v>*</v>
      </c>
      <c r="AS52" s="219"/>
      <c r="AT52" s="219" t="str">
        <f>'Свод по прилож. 11'!E29</f>
        <v>*</v>
      </c>
      <c r="AU52" s="219"/>
      <c r="AV52" s="219" t="str">
        <f>'Свод по прилож. 11'!E30</f>
        <v>*</v>
      </c>
      <c r="AW52" s="219"/>
      <c r="AX52" s="219" t="str">
        <f>'Свод по прилож. 11'!E31</f>
        <v>*</v>
      </c>
      <c r="AY52" s="219"/>
      <c r="AZ52" s="219" t="str">
        <f>'Свод по прилож. 11'!E32</f>
        <v>*</v>
      </c>
      <c r="BA52" s="219"/>
      <c r="BB52" s="219" t="str">
        <f>'Свод по прилож. 11'!E33</f>
        <v>*</v>
      </c>
      <c r="BC52" s="219"/>
      <c r="BD52" s="219" t="str">
        <f>'Свод по прилож. 11'!E34</f>
        <v>*</v>
      </c>
      <c r="BE52" s="219"/>
      <c r="BF52" s="219" t="str">
        <f>'Свод по прилож. 11'!E35</f>
        <v>*</v>
      </c>
      <c r="BG52" s="219"/>
      <c r="BH52" s="219" t="str">
        <f>'Свод по прилож. 11'!E36</f>
        <v>*</v>
      </c>
      <c r="BI52" s="219"/>
      <c r="BJ52" s="219" t="str">
        <f>'Свод по прилож. 11'!E37</f>
        <v>*</v>
      </c>
      <c r="BK52" s="219"/>
      <c r="BL52" s="494" t="s">
        <v>530</v>
      </c>
      <c r="BM52" s="543">
        <f t="shared" si="21"/>
        <v>0</v>
      </c>
    </row>
    <row r="53" spans="1:65" ht="203.25" customHeight="1" x14ac:dyDescent="0.25">
      <c r="A53" s="555" t="s">
        <v>397</v>
      </c>
      <c r="B53" s="355" t="s">
        <v>5</v>
      </c>
      <c r="C53" s="356">
        <v>5</v>
      </c>
      <c r="D53" s="219" t="str">
        <f>'Свод по прилож. 11'!G8</f>
        <v>*</v>
      </c>
      <c r="E53" s="219"/>
      <c r="F53" s="219" t="str">
        <f>'Свод по прилож. 11'!G9</f>
        <v>*</v>
      </c>
      <c r="G53" s="219"/>
      <c r="H53" s="219" t="str">
        <f>'Свод по прилож. 11'!G10</f>
        <v>*</v>
      </c>
      <c r="I53" s="219"/>
      <c r="J53" s="219" t="str">
        <f>'Свод по прилож. 11'!G11</f>
        <v>*</v>
      </c>
      <c r="K53" s="219"/>
      <c r="L53" s="219" t="str">
        <f>'Свод по прилож. 11'!G12</f>
        <v>*</v>
      </c>
      <c r="M53" s="219"/>
      <c r="N53" s="219" t="str">
        <f>'Свод по прилож. 11'!G13</f>
        <v>*</v>
      </c>
      <c r="O53" s="219"/>
      <c r="P53" s="219" t="str">
        <f>'Свод по прилож. 11'!G14</f>
        <v>*</v>
      </c>
      <c r="Q53" s="219"/>
      <c r="R53" s="219" t="str">
        <f>'Свод по прилож. 11'!G15</f>
        <v>*</v>
      </c>
      <c r="S53" s="219"/>
      <c r="T53" s="219" t="str">
        <f>'Свод по прилож. 11'!G16</f>
        <v>*</v>
      </c>
      <c r="U53" s="219"/>
      <c r="V53" s="219" t="str">
        <f>'Свод по прилож. 11'!G17</f>
        <v>*</v>
      </c>
      <c r="W53" s="219"/>
      <c r="X53" s="219" t="str">
        <f>'Свод по прилож. 11'!G18</f>
        <v>*</v>
      </c>
      <c r="Y53" s="219"/>
      <c r="Z53" s="219" t="str">
        <f>'Свод по прилож. 11'!G19</f>
        <v>*</v>
      </c>
      <c r="AA53" s="219"/>
      <c r="AB53" s="219" t="str">
        <f>'Свод по прилож. 11'!G20</f>
        <v>*</v>
      </c>
      <c r="AC53" s="219"/>
      <c r="AD53" s="219">
        <f>'Свод по прилож. 11'!G21</f>
        <v>1</v>
      </c>
      <c r="AE53" s="545">
        <f t="shared" si="25"/>
        <v>0.05</v>
      </c>
      <c r="AF53" s="219" t="str">
        <f>'Свод по прилож. 11'!G22</f>
        <v>*</v>
      </c>
      <c r="AG53" s="219"/>
      <c r="AH53" s="219">
        <f>'Свод по прилож. 11'!G23</f>
        <v>1</v>
      </c>
      <c r="AI53" s="545">
        <f>5.95*AH53/100</f>
        <v>5.9500000000000004E-2</v>
      </c>
      <c r="AJ53" s="219" t="str">
        <f>'Свод по прилож. 11'!G24</f>
        <v>*</v>
      </c>
      <c r="AK53" s="219"/>
      <c r="AL53" s="219" t="str">
        <f>'Свод по прилож. 11'!G25</f>
        <v>*</v>
      </c>
      <c r="AM53" s="219"/>
      <c r="AN53" s="219" t="str">
        <f>'Свод по прилож. 11'!G26</f>
        <v>*</v>
      </c>
      <c r="AO53" s="219"/>
      <c r="AP53" s="219" t="str">
        <f>'Свод по прилож. 11'!G27</f>
        <v>*</v>
      </c>
      <c r="AQ53" s="219"/>
      <c r="AR53" s="219" t="str">
        <f>'Свод по прилож. 11'!G28</f>
        <v>*</v>
      </c>
      <c r="AS53" s="219"/>
      <c r="AT53" s="219" t="str">
        <f>'Свод по прилож. 11'!G29</f>
        <v>*</v>
      </c>
      <c r="AU53" s="219"/>
      <c r="AV53" s="219" t="str">
        <f>'Свод по прилож. 11'!G30</f>
        <v>*</v>
      </c>
      <c r="AW53" s="219"/>
      <c r="AX53" s="219" t="str">
        <f>'Свод по прилож. 11'!G31</f>
        <v>*</v>
      </c>
      <c r="AY53" s="219"/>
      <c r="AZ53" s="219" t="str">
        <f>'Свод по прилож. 11'!G32</f>
        <v>*</v>
      </c>
      <c r="BA53" s="219"/>
      <c r="BB53" s="219" t="str">
        <f>'Свод по прилож. 11'!G33</f>
        <v>*</v>
      </c>
      <c r="BC53" s="219"/>
      <c r="BD53" s="219" t="str">
        <f>'Свод по прилож. 11'!G34</f>
        <v>*</v>
      </c>
      <c r="BE53" s="219"/>
      <c r="BF53" s="219" t="str">
        <f>'Свод по прилож. 11'!G35</f>
        <v>*</v>
      </c>
      <c r="BG53" s="219"/>
      <c r="BH53" s="219" t="str">
        <f>'Свод по прилож. 11'!G36</f>
        <v>*</v>
      </c>
      <c r="BI53" s="219"/>
      <c r="BJ53" s="219" t="str">
        <f>'Свод по прилож. 11'!G37</f>
        <v>*</v>
      </c>
      <c r="BK53" s="219"/>
      <c r="BL53" s="494" t="s">
        <v>414</v>
      </c>
      <c r="BM53" s="543">
        <f t="shared" si="21"/>
        <v>0</v>
      </c>
    </row>
    <row r="54" spans="1:65" ht="102.75" customHeight="1" x14ac:dyDescent="0.25">
      <c r="A54" s="555" t="s">
        <v>208</v>
      </c>
      <c r="B54" s="355" t="s">
        <v>5</v>
      </c>
      <c r="C54" s="356">
        <v>5</v>
      </c>
      <c r="D54" s="219" t="str">
        <f>'Свод по прилож. 11'!K8</f>
        <v>*</v>
      </c>
      <c r="E54" s="219"/>
      <c r="F54" s="219" t="str">
        <f>'Свод по прилож. 11'!K9</f>
        <v>*</v>
      </c>
      <c r="G54" s="219"/>
      <c r="H54" s="219" t="str">
        <f>'Свод по прилож. 11'!K10</f>
        <v>*</v>
      </c>
      <c r="I54" s="219"/>
      <c r="J54" s="219" t="str">
        <f>'Свод по прилож. 11'!K11</f>
        <v>*</v>
      </c>
      <c r="K54" s="219"/>
      <c r="L54" s="219" t="str">
        <f>'Свод по прилож. 11'!K12</f>
        <v>*</v>
      </c>
      <c r="M54" s="219"/>
      <c r="N54" s="219" t="str">
        <f>'Свод по прилож. 11'!K13</f>
        <v>*</v>
      </c>
      <c r="O54" s="219"/>
      <c r="P54" s="219" t="str">
        <f>'Свод по прилож. 11'!K14</f>
        <v>*</v>
      </c>
      <c r="Q54" s="219"/>
      <c r="R54" s="219" t="str">
        <f>'Свод по прилож. 11'!K15</f>
        <v>*</v>
      </c>
      <c r="S54" s="219"/>
      <c r="T54" s="219" t="str">
        <f>'Свод по прилож. 11'!K16</f>
        <v>*</v>
      </c>
      <c r="U54" s="219"/>
      <c r="V54" s="219" t="str">
        <f>'Свод по прилож. 11'!K17</f>
        <v>*</v>
      </c>
      <c r="W54" s="219"/>
      <c r="X54" s="219" t="str">
        <f>'Свод по прилож. 11'!K18</f>
        <v>*</v>
      </c>
      <c r="Y54" s="219"/>
      <c r="Z54" s="219" t="str">
        <f>'Свод по прилож. 11'!K19</f>
        <v>*</v>
      </c>
      <c r="AA54" s="219"/>
      <c r="AB54" s="219" t="str">
        <f>'Свод по прилож. 11'!K20</f>
        <v>*</v>
      </c>
      <c r="AC54" s="219"/>
      <c r="AD54" s="219">
        <f>'Свод по прилож. 11'!K21</f>
        <v>1</v>
      </c>
      <c r="AE54" s="545">
        <f t="shared" si="25"/>
        <v>0.05</v>
      </c>
      <c r="AF54" s="219" t="str">
        <f>'Свод по прилож. 11'!K22</f>
        <v>*</v>
      </c>
      <c r="AG54" s="219"/>
      <c r="AH54" s="219">
        <f>'Свод по прилож. 11'!K23</f>
        <v>0.7</v>
      </c>
      <c r="AI54" s="545">
        <f>5.95*AH54/100</f>
        <v>4.165E-2</v>
      </c>
      <c r="AJ54" s="219" t="str">
        <f>'Свод по прилож. 11'!K24</f>
        <v>*</v>
      </c>
      <c r="AK54" s="219"/>
      <c r="AL54" s="219" t="str">
        <f>'Свод по прилож. 11'!K25</f>
        <v>*</v>
      </c>
      <c r="AM54" s="219"/>
      <c r="AN54" s="219" t="str">
        <f>'Свод по прилож. 11'!K26</f>
        <v>*</v>
      </c>
      <c r="AO54" s="219"/>
      <c r="AP54" s="219" t="str">
        <f>'Свод по прилож. 11'!K27</f>
        <v>*</v>
      </c>
      <c r="AQ54" s="219"/>
      <c r="AR54" s="219" t="str">
        <f>'Свод по прилож. 11'!K28</f>
        <v>*</v>
      </c>
      <c r="AS54" s="219"/>
      <c r="AT54" s="219" t="str">
        <f>'Свод по прилож. 11'!K29</f>
        <v>*</v>
      </c>
      <c r="AU54" s="219"/>
      <c r="AV54" s="219" t="str">
        <f>'Свод по прилож. 11'!K30</f>
        <v>*</v>
      </c>
      <c r="AW54" s="219"/>
      <c r="AX54" s="219" t="str">
        <f>'Свод по прилож. 11'!K31</f>
        <v>*</v>
      </c>
      <c r="AY54" s="219"/>
      <c r="AZ54" s="219" t="str">
        <f>'Свод по прилож. 11'!K32</f>
        <v>*</v>
      </c>
      <c r="BA54" s="219"/>
      <c r="BB54" s="219" t="str">
        <f>'Свод по прилож. 11'!K33</f>
        <v>*</v>
      </c>
      <c r="BC54" s="219"/>
      <c r="BD54" s="219" t="str">
        <f>'Свод по прилож. 11'!K34</f>
        <v>*</v>
      </c>
      <c r="BE54" s="219"/>
      <c r="BF54" s="219" t="str">
        <f>'Свод по прилож. 11'!K35</f>
        <v>*</v>
      </c>
      <c r="BG54" s="219"/>
      <c r="BH54" s="219" t="str">
        <f>'Свод по прилож. 11'!K36</f>
        <v>*</v>
      </c>
      <c r="BI54" s="219"/>
      <c r="BJ54" s="219" t="str">
        <f>'Свод по прилож. 11'!K37</f>
        <v>*</v>
      </c>
      <c r="BK54" s="219"/>
      <c r="BL54" s="494" t="s">
        <v>415</v>
      </c>
      <c r="BM54" s="543">
        <f t="shared" si="21"/>
        <v>0</v>
      </c>
    </row>
    <row r="55" spans="1:65" ht="282" customHeight="1" x14ac:dyDescent="0.25">
      <c r="A55" s="555" t="s">
        <v>505</v>
      </c>
      <c r="B55" s="355" t="s">
        <v>258</v>
      </c>
      <c r="C55" s="356">
        <v>6</v>
      </c>
      <c r="D55" s="219">
        <v>0</v>
      </c>
      <c r="E55" s="219">
        <f>17.65*D55/100</f>
        <v>0</v>
      </c>
      <c r="F55" s="219">
        <v>1</v>
      </c>
      <c r="G55" s="219">
        <f>17.65*F55/100</f>
        <v>0.17649999999999999</v>
      </c>
      <c r="H55" s="219">
        <v>1</v>
      </c>
      <c r="I55" s="219">
        <f>27.27*H55/100</f>
        <v>0.2727</v>
      </c>
      <c r="J55" s="219">
        <v>1</v>
      </c>
      <c r="K55" s="219">
        <f>27.27*J55/100</f>
        <v>0.2727</v>
      </c>
      <c r="L55" s="219">
        <v>1</v>
      </c>
      <c r="M55" s="219">
        <f>27.27*L55/100</f>
        <v>0.2727</v>
      </c>
      <c r="N55" s="219">
        <v>1</v>
      </c>
      <c r="O55" s="219">
        <f>27.27*N55/100</f>
        <v>0.2727</v>
      </c>
      <c r="P55" s="219">
        <v>1</v>
      </c>
      <c r="Q55" s="219">
        <f>27.27*P55/100</f>
        <v>0.2727</v>
      </c>
      <c r="R55" s="219">
        <v>1</v>
      </c>
      <c r="S55" s="219">
        <f>27.27*R55/100</f>
        <v>0.2727</v>
      </c>
      <c r="T55" s="219">
        <v>1</v>
      </c>
      <c r="U55" s="219">
        <f>27.27*T55/100</f>
        <v>0.2727</v>
      </c>
      <c r="V55" s="219">
        <v>1</v>
      </c>
      <c r="W55" s="219">
        <f>27.27*V55/100</f>
        <v>0.2727</v>
      </c>
      <c r="X55" s="219">
        <v>0</v>
      </c>
      <c r="Y55" s="545">
        <f>27.27*X55/100</f>
        <v>0</v>
      </c>
      <c r="Z55" s="219">
        <v>1</v>
      </c>
      <c r="AA55" s="545">
        <f>17.65*Z55/100</f>
        <v>0.17649999999999999</v>
      </c>
      <c r="AB55" s="219">
        <v>0</v>
      </c>
      <c r="AC55" s="545">
        <f>27.27*AB55/100</f>
        <v>0</v>
      </c>
      <c r="AD55" s="219">
        <v>1</v>
      </c>
      <c r="AE55" s="545">
        <f t="shared" si="25"/>
        <v>0.06</v>
      </c>
      <c r="AF55" s="219">
        <v>1</v>
      </c>
      <c r="AG55" s="545">
        <f>27.27*AF55/100</f>
        <v>0.2727</v>
      </c>
      <c r="AH55" s="219">
        <v>0</v>
      </c>
      <c r="AI55" s="545">
        <f>7.14*AH55/100</f>
        <v>0</v>
      </c>
      <c r="AJ55" s="219">
        <v>1</v>
      </c>
      <c r="AK55" s="545">
        <f>12*AJ55/100</f>
        <v>0.12</v>
      </c>
      <c r="AL55" s="219">
        <v>0</v>
      </c>
      <c r="AM55" s="545">
        <f>27.27*AL55/100</f>
        <v>0</v>
      </c>
      <c r="AN55" s="219">
        <v>1</v>
      </c>
      <c r="AO55" s="545">
        <f>17.65*AN55/100</f>
        <v>0.17649999999999999</v>
      </c>
      <c r="AP55" s="219">
        <v>0</v>
      </c>
      <c r="AQ55" s="545">
        <f>27.27*AP55/100</f>
        <v>0</v>
      </c>
      <c r="AR55" s="219">
        <v>0</v>
      </c>
      <c r="AS55" s="545">
        <f>27.27*AR55/100</f>
        <v>0</v>
      </c>
      <c r="AT55" s="219">
        <v>0</v>
      </c>
      <c r="AU55" s="545">
        <f>27.27*AT55/100</f>
        <v>0</v>
      </c>
      <c r="AV55" s="219">
        <v>0</v>
      </c>
      <c r="AW55" s="545">
        <f>27.27*AV55/100</f>
        <v>0</v>
      </c>
      <c r="AX55" s="219">
        <v>0</v>
      </c>
      <c r="AY55" s="545">
        <f>27.27*AX55/100</f>
        <v>0</v>
      </c>
      <c r="AZ55" s="219">
        <v>0</v>
      </c>
      <c r="BA55" s="545">
        <f>27.27*AZ55/100</f>
        <v>0</v>
      </c>
      <c r="BB55" s="219">
        <v>0</v>
      </c>
      <c r="BC55" s="545">
        <f>27.27*BB55/100</f>
        <v>0</v>
      </c>
      <c r="BD55" s="219">
        <v>0</v>
      </c>
      <c r="BE55" s="545">
        <f>27.27*BD55/100</f>
        <v>0</v>
      </c>
      <c r="BF55" s="219">
        <v>0</v>
      </c>
      <c r="BG55" s="545">
        <f>27.27*BF55/100</f>
        <v>0</v>
      </c>
      <c r="BH55" s="219">
        <v>0</v>
      </c>
      <c r="BI55" s="545">
        <f>27.27*BH55/100</f>
        <v>0</v>
      </c>
      <c r="BJ55" s="219">
        <v>0</v>
      </c>
      <c r="BK55" s="545">
        <f>27.27*BJ55/100</f>
        <v>0</v>
      </c>
      <c r="BL55" s="494" t="s">
        <v>531</v>
      </c>
      <c r="BM55" s="543">
        <f t="shared" si="21"/>
        <v>0.23580999999999999</v>
      </c>
    </row>
    <row r="56" spans="1:65" ht="213.75" customHeight="1" x14ac:dyDescent="0.25">
      <c r="A56" s="555" t="s">
        <v>506</v>
      </c>
      <c r="B56" s="355" t="s">
        <v>258</v>
      </c>
      <c r="C56" s="356">
        <v>6</v>
      </c>
      <c r="D56" s="219">
        <v>0</v>
      </c>
      <c r="E56" s="219">
        <f>17.65*D56/100</f>
        <v>0</v>
      </c>
      <c r="F56" s="219">
        <v>0</v>
      </c>
      <c r="G56" s="219">
        <f>17.65*F56/100</f>
        <v>0</v>
      </c>
      <c r="H56" s="219">
        <v>1</v>
      </c>
      <c r="I56" s="219">
        <f>27.27*H56/100</f>
        <v>0.2727</v>
      </c>
      <c r="J56" s="219">
        <v>0</v>
      </c>
      <c r="K56" s="219">
        <f>27.27*J56/100</f>
        <v>0</v>
      </c>
      <c r="L56" s="219">
        <v>0</v>
      </c>
      <c r="M56" s="219">
        <f>27.27*L56/100</f>
        <v>0</v>
      </c>
      <c r="N56" s="219">
        <v>0</v>
      </c>
      <c r="O56" s="219">
        <f>27.27*N56/100</f>
        <v>0</v>
      </c>
      <c r="P56" s="219">
        <v>0</v>
      </c>
      <c r="Q56" s="219">
        <f>27.27*P56/100</f>
        <v>0</v>
      </c>
      <c r="R56" s="219">
        <v>0</v>
      </c>
      <c r="S56" s="219">
        <f>27.27*R56/100</f>
        <v>0</v>
      </c>
      <c r="T56" s="219">
        <v>0</v>
      </c>
      <c r="U56" s="219">
        <f>27.27*T56/100</f>
        <v>0</v>
      </c>
      <c r="V56" s="219">
        <v>0</v>
      </c>
      <c r="W56" s="219">
        <f>27.27*V56/100</f>
        <v>0</v>
      </c>
      <c r="X56" s="219">
        <v>0</v>
      </c>
      <c r="Y56" s="545">
        <f>27.27*X56/100</f>
        <v>0</v>
      </c>
      <c r="Z56" s="219">
        <v>0</v>
      </c>
      <c r="AA56" s="545">
        <f>17.65*Z56/100</f>
        <v>0</v>
      </c>
      <c r="AB56" s="219">
        <v>0</v>
      </c>
      <c r="AC56" s="545">
        <f>27.27*AB56/100</f>
        <v>0</v>
      </c>
      <c r="AD56" s="219">
        <v>1</v>
      </c>
      <c r="AE56" s="545">
        <f t="shared" si="25"/>
        <v>0.06</v>
      </c>
      <c r="AF56" s="219">
        <v>0</v>
      </c>
      <c r="AG56" s="545">
        <f>27.27*AF56/100</f>
        <v>0</v>
      </c>
      <c r="AH56" s="219">
        <v>1</v>
      </c>
      <c r="AI56" s="545">
        <f>7.14*AH56/100</f>
        <v>7.1399999999999991E-2</v>
      </c>
      <c r="AJ56" s="219">
        <v>1</v>
      </c>
      <c r="AK56" s="545">
        <f>12*AJ56/100</f>
        <v>0.12</v>
      </c>
      <c r="AL56" s="219">
        <v>0</v>
      </c>
      <c r="AM56" s="545">
        <f>27.27*AL56/100</f>
        <v>0</v>
      </c>
      <c r="AN56" s="219">
        <v>0</v>
      </c>
      <c r="AO56" s="545">
        <f>17.65*AN56/100</f>
        <v>0</v>
      </c>
      <c r="AP56" s="219">
        <v>0</v>
      </c>
      <c r="AQ56" s="545">
        <f>27.27*AP56/100</f>
        <v>0</v>
      </c>
      <c r="AR56" s="219">
        <v>0</v>
      </c>
      <c r="AS56" s="545">
        <f>27.27*AR56/100</f>
        <v>0</v>
      </c>
      <c r="AT56" s="219">
        <v>0</v>
      </c>
      <c r="AU56" s="545">
        <f>27.27*AT56/100</f>
        <v>0</v>
      </c>
      <c r="AV56" s="219">
        <v>0</v>
      </c>
      <c r="AW56" s="545">
        <f>27.27*AV56/100</f>
        <v>0</v>
      </c>
      <c r="AX56" s="219">
        <v>0</v>
      </c>
      <c r="AY56" s="545">
        <f>27.27*AX56/100</f>
        <v>0</v>
      </c>
      <c r="AZ56" s="219">
        <v>0</v>
      </c>
      <c r="BA56" s="545">
        <f>27.27*AZ56/100</f>
        <v>0</v>
      </c>
      <c r="BB56" s="219">
        <v>0</v>
      </c>
      <c r="BC56" s="545">
        <f>27.27*BB56/100</f>
        <v>0</v>
      </c>
      <c r="BD56" s="219">
        <v>0</v>
      </c>
      <c r="BE56" s="545">
        <f>27.27*BD56/100</f>
        <v>0</v>
      </c>
      <c r="BF56" s="219">
        <v>0</v>
      </c>
      <c r="BG56" s="545">
        <f>27.27*BF56/100</f>
        <v>0</v>
      </c>
      <c r="BH56" s="219">
        <v>0</v>
      </c>
      <c r="BI56" s="545">
        <f>27.27*BH56/100</f>
        <v>0</v>
      </c>
      <c r="BJ56" s="219">
        <v>0</v>
      </c>
      <c r="BK56" s="545">
        <f>27.27*BJ56/100</f>
        <v>0</v>
      </c>
      <c r="BL56" s="494" t="s">
        <v>507</v>
      </c>
      <c r="BM56" s="543">
        <f t="shared" si="21"/>
        <v>2.7269999999999999E-2</v>
      </c>
    </row>
    <row r="57" spans="1:65" ht="87.75" customHeight="1" x14ac:dyDescent="0.25">
      <c r="A57" s="354" t="s">
        <v>217</v>
      </c>
      <c r="B57" s="355" t="s">
        <v>5</v>
      </c>
      <c r="C57" s="356">
        <v>9</v>
      </c>
      <c r="D57" s="219" t="s">
        <v>16</v>
      </c>
      <c r="E57" s="219"/>
      <c r="F57" s="219" t="s">
        <v>16</v>
      </c>
      <c r="G57" s="219"/>
      <c r="H57" s="219" t="s">
        <v>16</v>
      </c>
      <c r="I57" s="219"/>
      <c r="J57" s="219" t="s">
        <v>16</v>
      </c>
      <c r="K57" s="219"/>
      <c r="L57" s="219" t="s">
        <v>16</v>
      </c>
      <c r="M57" s="219"/>
      <c r="N57" s="219" t="s">
        <v>16</v>
      </c>
      <c r="O57" s="219"/>
      <c r="P57" s="219" t="s">
        <v>16</v>
      </c>
      <c r="Q57" s="219"/>
      <c r="R57" s="219" t="s">
        <v>16</v>
      </c>
      <c r="S57" s="219"/>
      <c r="T57" s="219" t="s">
        <v>16</v>
      </c>
      <c r="U57" s="219"/>
      <c r="V57" s="219" t="s">
        <v>16</v>
      </c>
      <c r="W57" s="219"/>
      <c r="X57" s="219" t="s">
        <v>16</v>
      </c>
      <c r="Y57" s="219"/>
      <c r="Z57" s="219" t="s">
        <v>16</v>
      </c>
      <c r="AA57" s="219"/>
      <c r="AB57" s="219" t="s">
        <v>16</v>
      </c>
      <c r="AC57" s="219"/>
      <c r="AD57" s="219">
        <f>'свод по прилож. 1,2'!R14/100</f>
        <v>1</v>
      </c>
      <c r="AE57" s="219">
        <f>C57*AD57/100</f>
        <v>0.09</v>
      </c>
      <c r="AF57" s="219" t="s">
        <v>16</v>
      </c>
      <c r="AG57" s="219"/>
      <c r="AH57" s="219">
        <f>'свод по прилож. 1,2'!T14/100</f>
        <v>0</v>
      </c>
      <c r="AI57" s="219">
        <f>10.71*AH57/100</f>
        <v>0</v>
      </c>
      <c r="AJ57" s="219" t="s">
        <v>16</v>
      </c>
      <c r="AK57" s="219"/>
      <c r="AL57" s="219" t="s">
        <v>16</v>
      </c>
      <c r="AM57" s="219"/>
      <c r="AN57" s="219" t="s">
        <v>16</v>
      </c>
      <c r="AO57" s="219"/>
      <c r="AP57" s="219" t="s">
        <v>16</v>
      </c>
      <c r="AQ57" s="219"/>
      <c r="AR57" s="219" t="s">
        <v>16</v>
      </c>
      <c r="AS57" s="219"/>
      <c r="AT57" s="219" t="s">
        <v>16</v>
      </c>
      <c r="AU57" s="219"/>
      <c r="AV57" s="219" t="s">
        <v>16</v>
      </c>
      <c r="AW57" s="219"/>
      <c r="AX57" s="219" t="s">
        <v>16</v>
      </c>
      <c r="AY57" s="219"/>
      <c r="AZ57" s="219" t="s">
        <v>16</v>
      </c>
      <c r="BA57" s="219"/>
      <c r="BB57" s="219" t="s">
        <v>16</v>
      </c>
      <c r="BC57" s="219"/>
      <c r="BD57" s="219" t="s">
        <v>16</v>
      </c>
      <c r="BE57" s="219"/>
      <c r="BF57" s="219" t="s">
        <v>16</v>
      </c>
      <c r="BG57" s="219"/>
      <c r="BH57" s="219" t="s">
        <v>16</v>
      </c>
      <c r="BI57" s="219"/>
      <c r="BJ57" s="219" t="s">
        <v>16</v>
      </c>
      <c r="BK57" s="219"/>
      <c r="BL57" s="494" t="s">
        <v>481</v>
      </c>
      <c r="BM57" s="543">
        <f t="shared" si="21"/>
        <v>0</v>
      </c>
    </row>
    <row r="58" spans="1:65" ht="121.5" customHeight="1" x14ac:dyDescent="0.25">
      <c r="A58" s="354" t="s">
        <v>246</v>
      </c>
      <c r="B58" s="355" t="s">
        <v>258</v>
      </c>
      <c r="C58" s="356">
        <v>11</v>
      </c>
      <c r="D58" s="219" t="s">
        <v>16</v>
      </c>
      <c r="E58" s="219"/>
      <c r="F58" s="219" t="s">
        <v>16</v>
      </c>
      <c r="G58" s="219"/>
      <c r="H58" s="219" t="s">
        <v>16</v>
      </c>
      <c r="I58" s="219"/>
      <c r="J58" s="219" t="s">
        <v>16</v>
      </c>
      <c r="K58" s="219"/>
      <c r="L58" s="219" t="s">
        <v>16</v>
      </c>
      <c r="M58" s="219"/>
      <c r="N58" s="219" t="s">
        <v>16</v>
      </c>
      <c r="O58" s="219"/>
      <c r="P58" s="219" t="s">
        <v>16</v>
      </c>
      <c r="Q58" s="219"/>
      <c r="R58" s="219" t="s">
        <v>16</v>
      </c>
      <c r="S58" s="219"/>
      <c r="T58" s="219" t="s">
        <v>16</v>
      </c>
      <c r="U58" s="219"/>
      <c r="V58" s="219" t="s">
        <v>16</v>
      </c>
      <c r="W58" s="219"/>
      <c r="X58" s="219" t="s">
        <v>16</v>
      </c>
      <c r="Y58" s="219"/>
      <c r="Z58" s="219" t="s">
        <v>16</v>
      </c>
      <c r="AA58" s="219"/>
      <c r="AB58" s="219" t="s">
        <v>16</v>
      </c>
      <c r="AC58" s="219"/>
      <c r="AD58" s="219">
        <v>0.5</v>
      </c>
      <c r="AE58" s="219">
        <f>C58*AD58/100</f>
        <v>5.5E-2</v>
      </c>
      <c r="AF58" s="219" t="s">
        <v>16</v>
      </c>
      <c r="AG58" s="219"/>
      <c r="AH58" s="219" t="s">
        <v>16</v>
      </c>
      <c r="AI58" s="219"/>
      <c r="AJ58" s="219">
        <v>0.5</v>
      </c>
      <c r="AK58" s="219">
        <f>22*AJ58/100</f>
        <v>0.11</v>
      </c>
      <c r="AL58" s="219" t="s">
        <v>16</v>
      </c>
      <c r="AM58" s="219"/>
      <c r="AN58" s="219" t="s">
        <v>16</v>
      </c>
      <c r="AO58" s="219"/>
      <c r="AP58" s="219" t="s">
        <v>16</v>
      </c>
      <c r="AQ58" s="219"/>
      <c r="AR58" s="219" t="s">
        <v>16</v>
      </c>
      <c r="AS58" s="219"/>
      <c r="AT58" s="219" t="s">
        <v>16</v>
      </c>
      <c r="AU58" s="219"/>
      <c r="AV58" s="219" t="s">
        <v>16</v>
      </c>
      <c r="AW58" s="219"/>
      <c r="AX58" s="219" t="s">
        <v>16</v>
      </c>
      <c r="AY58" s="219"/>
      <c r="AZ58" s="219" t="s">
        <v>16</v>
      </c>
      <c r="BA58" s="219"/>
      <c r="BB58" s="219" t="s">
        <v>16</v>
      </c>
      <c r="BC58" s="219"/>
      <c r="BD58" s="219" t="s">
        <v>16</v>
      </c>
      <c r="BE58" s="219"/>
      <c r="BF58" s="219" t="s">
        <v>16</v>
      </c>
      <c r="BG58" s="219"/>
      <c r="BH58" s="219" t="s">
        <v>16</v>
      </c>
      <c r="BI58" s="219"/>
      <c r="BJ58" s="219" t="s">
        <v>16</v>
      </c>
      <c r="BK58" s="219"/>
      <c r="BL58" s="494" t="s">
        <v>248</v>
      </c>
      <c r="BM58" s="543">
        <f t="shared" si="21"/>
        <v>0</v>
      </c>
    </row>
    <row r="59" spans="1:65" ht="161.25" customHeight="1" x14ac:dyDescent="0.25">
      <c r="A59" s="354" t="s">
        <v>508</v>
      </c>
      <c r="B59" s="355" t="s">
        <v>5</v>
      </c>
      <c r="C59" s="356">
        <v>11</v>
      </c>
      <c r="D59" s="219" t="s">
        <v>16</v>
      </c>
      <c r="E59" s="219"/>
      <c r="F59" s="219" t="s">
        <v>16</v>
      </c>
      <c r="G59" s="219"/>
      <c r="H59" s="219" t="s">
        <v>16</v>
      </c>
      <c r="I59" s="219"/>
      <c r="J59" s="219" t="s">
        <v>16</v>
      </c>
      <c r="K59" s="219"/>
      <c r="L59" s="219" t="s">
        <v>16</v>
      </c>
      <c r="M59" s="219"/>
      <c r="N59" s="219" t="s">
        <v>16</v>
      </c>
      <c r="O59" s="219"/>
      <c r="P59" s="219" t="s">
        <v>16</v>
      </c>
      <c r="Q59" s="219"/>
      <c r="R59" s="219" t="s">
        <v>16</v>
      </c>
      <c r="S59" s="219"/>
      <c r="T59" s="219" t="s">
        <v>16</v>
      </c>
      <c r="U59" s="219"/>
      <c r="V59" s="219" t="s">
        <v>16</v>
      </c>
      <c r="W59" s="219"/>
      <c r="X59" s="219" t="s">
        <v>16</v>
      </c>
      <c r="Y59" s="219"/>
      <c r="Z59" s="219" t="s">
        <v>16</v>
      </c>
      <c r="AA59" s="219"/>
      <c r="AB59" s="219" t="s">
        <v>16</v>
      </c>
      <c r="AC59" s="219"/>
      <c r="AD59" s="219">
        <f>(3/3*100)/100</f>
        <v>1</v>
      </c>
      <c r="AE59" s="219">
        <f>C59*AD59/100</f>
        <v>0.11</v>
      </c>
      <c r="AF59" s="219" t="s">
        <v>16</v>
      </c>
      <c r="AG59" s="219"/>
      <c r="AH59" s="219">
        <f>(1/1*100)/100</f>
        <v>1</v>
      </c>
      <c r="AI59" s="219">
        <f>13.1*AH59/100</f>
        <v>0.13100000000000001</v>
      </c>
      <c r="AJ59" s="219" t="s">
        <v>16</v>
      </c>
      <c r="AK59" s="219"/>
      <c r="AL59" s="219" t="s">
        <v>16</v>
      </c>
      <c r="AM59" s="219"/>
      <c r="AN59" s="219" t="s">
        <v>16</v>
      </c>
      <c r="AO59" s="219"/>
      <c r="AP59" s="219" t="s">
        <v>16</v>
      </c>
      <c r="AQ59" s="219"/>
      <c r="AR59" s="219" t="s">
        <v>16</v>
      </c>
      <c r="AS59" s="219"/>
      <c r="AT59" s="219" t="s">
        <v>16</v>
      </c>
      <c r="AU59" s="219"/>
      <c r="AV59" s="219" t="s">
        <v>16</v>
      </c>
      <c r="AW59" s="219"/>
      <c r="AX59" s="219" t="s">
        <v>16</v>
      </c>
      <c r="AY59" s="219"/>
      <c r="AZ59" s="219" t="s">
        <v>16</v>
      </c>
      <c r="BA59" s="219"/>
      <c r="BB59" s="219" t="s">
        <v>16</v>
      </c>
      <c r="BC59" s="219"/>
      <c r="BD59" s="219" t="s">
        <v>16</v>
      </c>
      <c r="BE59" s="219"/>
      <c r="BF59" s="219" t="s">
        <v>16</v>
      </c>
      <c r="BG59" s="219"/>
      <c r="BH59" s="219" t="s">
        <v>16</v>
      </c>
      <c r="BI59" s="219"/>
      <c r="BJ59" s="219" t="s">
        <v>16</v>
      </c>
      <c r="BK59" s="219"/>
      <c r="BL59" s="494" t="s">
        <v>249</v>
      </c>
      <c r="BM59" s="543">
        <f t="shared" si="21"/>
        <v>0</v>
      </c>
    </row>
    <row r="60" spans="1:65" ht="105.75" customHeight="1" x14ac:dyDescent="0.25">
      <c r="A60" s="556" t="s">
        <v>247</v>
      </c>
      <c r="B60" s="355" t="s">
        <v>5</v>
      </c>
      <c r="C60" s="356">
        <v>20</v>
      </c>
      <c r="D60" s="219" t="s">
        <v>16</v>
      </c>
      <c r="E60" s="219"/>
      <c r="F60" s="219" t="s">
        <v>16</v>
      </c>
      <c r="G60" s="219"/>
      <c r="H60" s="219" t="s">
        <v>16</v>
      </c>
      <c r="I60" s="219"/>
      <c r="J60" s="219" t="s">
        <v>16</v>
      </c>
      <c r="K60" s="219"/>
      <c r="L60" s="219" t="s">
        <v>16</v>
      </c>
      <c r="M60" s="219"/>
      <c r="N60" s="219" t="s">
        <v>16</v>
      </c>
      <c r="O60" s="219"/>
      <c r="P60" s="219" t="s">
        <v>16</v>
      </c>
      <c r="Q60" s="219"/>
      <c r="R60" s="219" t="s">
        <v>16</v>
      </c>
      <c r="S60" s="219"/>
      <c r="T60" s="219" t="s">
        <v>16</v>
      </c>
      <c r="U60" s="219"/>
      <c r="V60" s="219" t="s">
        <v>16</v>
      </c>
      <c r="W60" s="219"/>
      <c r="X60" s="219" t="s">
        <v>16</v>
      </c>
      <c r="Y60" s="219"/>
      <c r="Z60" s="219" t="s">
        <v>16</v>
      </c>
      <c r="AA60" s="219"/>
      <c r="AB60" s="219" t="s">
        <v>16</v>
      </c>
      <c r="AC60" s="219"/>
      <c r="AD60" s="219">
        <f>'Свод по прилож. 11'!O21</f>
        <v>0.95021308558780682</v>
      </c>
      <c r="AE60" s="219">
        <f>C60*AD60/100</f>
        <v>0.19004261711756137</v>
      </c>
      <c r="AF60" s="219" t="s">
        <v>16</v>
      </c>
      <c r="AG60" s="219"/>
      <c r="AH60" s="219">
        <f>'Свод по прилож. 11'!O23</f>
        <v>0.9819591766173148</v>
      </c>
      <c r="AI60" s="219">
        <f>23.81*AH60/100</f>
        <v>0.23380447995258266</v>
      </c>
      <c r="AJ60" s="219" t="s">
        <v>16</v>
      </c>
      <c r="AK60" s="219"/>
      <c r="AL60" s="219" t="s">
        <v>16</v>
      </c>
      <c r="AM60" s="219"/>
      <c r="AN60" s="219" t="s">
        <v>16</v>
      </c>
      <c r="AO60" s="219"/>
      <c r="AP60" s="219" t="s">
        <v>16</v>
      </c>
      <c r="AQ60" s="219"/>
      <c r="AR60" s="219" t="s">
        <v>16</v>
      </c>
      <c r="AS60" s="219"/>
      <c r="AT60" s="219" t="s">
        <v>16</v>
      </c>
      <c r="AU60" s="219"/>
      <c r="AV60" s="219" t="s">
        <v>16</v>
      </c>
      <c r="AW60" s="219"/>
      <c r="AX60" s="219" t="s">
        <v>16</v>
      </c>
      <c r="AY60" s="219"/>
      <c r="AZ60" s="219" t="s">
        <v>16</v>
      </c>
      <c r="BA60" s="219"/>
      <c r="BB60" s="219" t="s">
        <v>16</v>
      </c>
      <c r="BC60" s="219"/>
      <c r="BD60" s="219" t="s">
        <v>16</v>
      </c>
      <c r="BE60" s="219"/>
      <c r="BF60" s="219" t="s">
        <v>16</v>
      </c>
      <c r="BG60" s="219"/>
      <c r="BH60" s="219" t="s">
        <v>16</v>
      </c>
      <c r="BI60" s="219"/>
      <c r="BJ60" s="219" t="s">
        <v>16</v>
      </c>
      <c r="BK60" s="219"/>
      <c r="BL60" s="494" t="s">
        <v>173</v>
      </c>
      <c r="BM60" s="543">
        <f>(E60+I60+O60+K60+G60+W60+U60+S60+Q60+M60)/6</f>
        <v>0</v>
      </c>
    </row>
    <row r="61" spans="1:65" ht="54" customHeight="1" x14ac:dyDescent="0.25">
      <c r="A61" s="556" t="s">
        <v>252</v>
      </c>
      <c r="B61" s="355" t="s">
        <v>258</v>
      </c>
      <c r="C61" s="356">
        <v>12</v>
      </c>
      <c r="D61" s="219">
        <f>15/15</f>
        <v>1</v>
      </c>
      <c r="E61" s="219">
        <f>35.28*D61/100</f>
        <v>0.3528</v>
      </c>
      <c r="F61" s="219">
        <v>1</v>
      </c>
      <c r="G61" s="219">
        <f>35.28*F61/100</f>
        <v>0.3528</v>
      </c>
      <c r="H61" s="219">
        <v>1</v>
      </c>
      <c r="I61" s="219">
        <f>35.28*H61/100</f>
        <v>0.3528</v>
      </c>
      <c r="J61" s="219" t="s">
        <v>264</v>
      </c>
      <c r="K61" s="219"/>
      <c r="L61" s="219" t="s">
        <v>264</v>
      </c>
      <c r="M61" s="219"/>
      <c r="N61" s="219" t="s">
        <v>264</v>
      </c>
      <c r="O61" s="219"/>
      <c r="P61" s="219" t="s">
        <v>264</v>
      </c>
      <c r="Q61" s="219"/>
      <c r="R61" s="219" t="s">
        <v>264</v>
      </c>
      <c r="S61" s="219"/>
      <c r="T61" s="219" t="s">
        <v>264</v>
      </c>
      <c r="U61" s="219"/>
      <c r="V61" s="219" t="s">
        <v>264</v>
      </c>
      <c r="W61" s="219"/>
      <c r="X61" s="219" t="s">
        <v>264</v>
      </c>
      <c r="Y61" s="219"/>
      <c r="Z61" s="219">
        <f>7/10</f>
        <v>0.7</v>
      </c>
      <c r="AA61" s="219">
        <f>35.28*Z61/100</f>
        <v>0.24695999999999999</v>
      </c>
      <c r="AB61" s="219" t="s">
        <v>264</v>
      </c>
      <c r="AC61" s="219"/>
      <c r="AD61" s="219">
        <f>4/5</f>
        <v>0.8</v>
      </c>
      <c r="AE61" s="219">
        <f>C61*AD61/100</f>
        <v>9.6000000000000016E-2</v>
      </c>
      <c r="AF61" s="219" t="s">
        <v>264</v>
      </c>
      <c r="AG61" s="219"/>
      <c r="AH61" s="219">
        <v>1</v>
      </c>
      <c r="AI61" s="219">
        <f>14.3*AH61/100</f>
        <v>0.14300000000000002</v>
      </c>
      <c r="AJ61" s="219">
        <v>1</v>
      </c>
      <c r="AK61" s="219">
        <f>24*AJ61/100</f>
        <v>0.24</v>
      </c>
      <c r="AL61" s="219" t="s">
        <v>264</v>
      </c>
      <c r="AM61" s="219"/>
      <c r="AN61" s="219">
        <v>1</v>
      </c>
      <c r="AO61" s="219">
        <f>35.28*AN61/100</f>
        <v>0.3528</v>
      </c>
      <c r="AP61" s="219" t="s">
        <v>264</v>
      </c>
      <c r="AQ61" s="219"/>
      <c r="AR61" s="219" t="s">
        <v>264</v>
      </c>
      <c r="AS61" s="219"/>
      <c r="AT61" s="219" t="s">
        <v>264</v>
      </c>
      <c r="AU61" s="219"/>
      <c r="AV61" s="219" t="s">
        <v>264</v>
      </c>
      <c r="AW61" s="219"/>
      <c r="AX61" s="219" t="s">
        <v>264</v>
      </c>
      <c r="AY61" s="219"/>
      <c r="AZ61" s="219" t="s">
        <v>264</v>
      </c>
      <c r="BA61" s="219"/>
      <c r="BB61" s="219" t="s">
        <v>264</v>
      </c>
      <c r="BC61" s="219"/>
      <c r="BD61" s="219" t="s">
        <v>264</v>
      </c>
      <c r="BE61" s="219"/>
      <c r="BF61" s="219" t="s">
        <v>264</v>
      </c>
      <c r="BG61" s="219"/>
      <c r="BH61" s="219" t="s">
        <v>264</v>
      </c>
      <c r="BI61" s="219"/>
      <c r="BJ61" s="219" t="s">
        <v>264</v>
      </c>
      <c r="BK61" s="219"/>
      <c r="BL61" s="494" t="s">
        <v>253</v>
      </c>
      <c r="BM61" s="543">
        <f>(E61+I61+O61+K61+G61+W61+U61+S61+Q61+M61)/10</f>
        <v>0.10584</v>
      </c>
    </row>
    <row r="62" spans="1:65" ht="20.25" customHeight="1" x14ac:dyDescent="0.25">
      <c r="A62" s="620" t="s">
        <v>11</v>
      </c>
      <c r="B62" s="620"/>
      <c r="C62" s="357">
        <f>C7+C13+C28+C36+C40+C49+C33</f>
        <v>100</v>
      </c>
      <c r="D62" s="380"/>
      <c r="E62" s="357">
        <f>(E7+E13+E28+E36+E40+E49+E33)-5</f>
        <v>59.167202771745593</v>
      </c>
      <c r="F62" s="380"/>
      <c r="G62" s="357">
        <f>(G7+G13+G28+G33+G36+G40+G49)-5</f>
        <v>69.219613902152929</v>
      </c>
      <c r="H62" s="380"/>
      <c r="I62" s="357">
        <f>I7+I13+I28+I36+I40+I49+I33</f>
        <v>93.195358770111497</v>
      </c>
      <c r="J62" s="380"/>
      <c r="K62" s="357">
        <f>(K7+K13+K28+K36+K40+K49+K33)</f>
        <v>58.265918162346168</v>
      </c>
      <c r="L62" s="357"/>
      <c r="M62" s="357">
        <f>(M7+M13+M28+M36+M40+M49+M33)</f>
        <v>79.343800000000002</v>
      </c>
      <c r="N62" s="379"/>
      <c r="O62" s="357">
        <f>(O7+O13+O28+O36+O40+O49+O33)</f>
        <v>84.424918750000003</v>
      </c>
      <c r="P62" s="357"/>
      <c r="Q62" s="357">
        <f>(Q7+Q13+Q28+Q36+Q40+Q49+Q33)</f>
        <v>73.553647039849807</v>
      </c>
      <c r="R62" s="380"/>
      <c r="S62" s="357">
        <f>(S7+S13+S28+S36+S40+S49+S33)</f>
        <v>77.341845671813658</v>
      </c>
      <c r="T62" s="380"/>
      <c r="U62" s="357">
        <f>(U7+U13+U28+U36+U40+U49+U33)</f>
        <v>-28.891526844402932</v>
      </c>
      <c r="V62" s="380"/>
      <c r="W62" s="357">
        <f>(W7+W13+W28+W36+W40+W49+W33)</f>
        <v>73.238062500000012</v>
      </c>
      <c r="X62" s="357"/>
      <c r="Y62" s="357">
        <f>(Y7+Y13+Y28+Y36+Y40+Y49+Y33)-5</f>
        <v>64.34375</v>
      </c>
      <c r="Z62" s="357"/>
      <c r="AA62" s="357">
        <f>(AA7+AA13+AA28+AA36+AA40+AA49+AA33)</f>
        <v>55.47792053670576</v>
      </c>
      <c r="AB62" s="357"/>
      <c r="AC62" s="357">
        <f>(AC7+AC13+AC28+AC36+AC40+AC49+AC33)</f>
        <v>71.077342832892725</v>
      </c>
      <c r="AD62" s="357"/>
      <c r="AE62" s="357">
        <f>(AE7+AE13+AE28+AE36+AE40+AE49+AE33)-5</f>
        <v>52.91549167874301</v>
      </c>
      <c r="AF62" s="357"/>
      <c r="AG62" s="357">
        <f>(AG7+AG13+AG28+AG36+AG40+AG49+AG33)</f>
        <v>62.044792810528932</v>
      </c>
      <c r="AH62" s="357"/>
      <c r="AI62" s="357">
        <f>(AI7+AI13+AI28+AI36+AI40+AI49+AI33)-5</f>
        <v>66.332449445137797</v>
      </c>
      <c r="AJ62" s="357"/>
      <c r="AK62" s="357">
        <f>(AK7+AK13+AK28+AK36+AK40+AK49+AK33)-5</f>
        <v>64.905939552260719</v>
      </c>
      <c r="AL62" s="357"/>
      <c r="AM62" s="357">
        <f>(AM7+AM13+AM28+AM36+AM40+AM49+AM33)-5</f>
        <v>69.995973358933469</v>
      </c>
      <c r="AN62" s="357"/>
      <c r="AO62" s="357">
        <f>(AO7+AO13+AO28+AO36+AO40+AO49+AO33)</f>
        <v>71.974806391853249</v>
      </c>
      <c r="AP62" s="357"/>
      <c r="AQ62" s="357">
        <f>(AQ7+AQ13+AQ28+AQ36+AQ40+AQ49+AQ33)-5</f>
        <v>46.920950000000005</v>
      </c>
      <c r="AR62" s="357"/>
      <c r="AS62" s="357">
        <f>(AS7+AS13+AS28+AS36+AS40+AS49+AS33)-5</f>
        <v>75.7205625</v>
      </c>
      <c r="AT62" s="357"/>
      <c r="AU62" s="357">
        <f>(AU7+AU13+AU28+AU36+AU40+AU49+AU33)-5</f>
        <v>58.912835000000001</v>
      </c>
      <c r="AV62" s="357"/>
      <c r="AW62" s="357">
        <f>(AW7+AW13+AW28+AW36+AW40+AW49+AW33)-5</f>
        <v>59.988119492482866</v>
      </c>
      <c r="AX62" s="357"/>
      <c r="AY62" s="357">
        <f>(AY7+AY13+AY28+AY36+AY40+AY49+AY33)-5</f>
        <v>53.509416988607079</v>
      </c>
      <c r="AZ62" s="357"/>
      <c r="BA62" s="357">
        <f>(BA7+BA13+BA28+BA36+BA40+BA49+BA33)-5</f>
        <v>54.920030787515827</v>
      </c>
      <c r="BB62" s="357"/>
      <c r="BC62" s="357">
        <f>(BC7+BC13+BC28+BC36+BC40+BC49+BC33)-5</f>
        <v>46.849124003433502</v>
      </c>
      <c r="BD62" s="357"/>
      <c r="BE62" s="357">
        <f>(BE7+BE13+BE28+BE36+BE40+BE49+BE33)-5</f>
        <v>52.043961070462856</v>
      </c>
      <c r="BF62" s="357"/>
      <c r="BG62" s="357">
        <f>(BG7+BG13+BG28+BG36+BG40+BG49+BG33)-5</f>
        <v>51.801193551245049</v>
      </c>
      <c r="BH62" s="357"/>
      <c r="BI62" s="357">
        <f>(BI7+BI13+BI28+BI36+BI40+BI49+BI33)-5</f>
        <v>60.181255693434892</v>
      </c>
      <c r="BJ62" s="357"/>
      <c r="BK62" s="357">
        <f>(BK7+BK13+BK28+BK36+BK40+BK49+BK33)-5</f>
        <v>44.787474028807353</v>
      </c>
      <c r="BL62" s="168"/>
      <c r="BM62" s="543">
        <f>(E62+I62+O62+K62+G62+W62+U62+S62+Q62+M62)/10</f>
        <v>63.885884072361669</v>
      </c>
    </row>
    <row r="63" spans="1:65" ht="25.9" customHeight="1" x14ac:dyDescent="0.2">
      <c r="A63" s="623" t="s">
        <v>188</v>
      </c>
      <c r="B63" s="623"/>
      <c r="C63" s="623"/>
      <c r="D63" s="608" t="s">
        <v>733</v>
      </c>
      <c r="E63" s="609"/>
      <c r="F63" s="608" t="s">
        <v>733</v>
      </c>
      <c r="G63" s="609"/>
      <c r="H63" s="608" t="s">
        <v>417</v>
      </c>
      <c r="I63" s="609"/>
      <c r="J63" s="608" t="s">
        <v>733</v>
      </c>
      <c r="K63" s="609"/>
      <c r="L63" s="608" t="s">
        <v>417</v>
      </c>
      <c r="M63" s="609"/>
      <c r="N63" s="608" t="s">
        <v>417</v>
      </c>
      <c r="O63" s="609"/>
      <c r="P63" s="608" t="s">
        <v>417</v>
      </c>
      <c r="Q63" s="609"/>
      <c r="R63" s="608" t="s">
        <v>417</v>
      </c>
      <c r="S63" s="609"/>
      <c r="T63" s="608" t="s">
        <v>737</v>
      </c>
      <c r="U63" s="609"/>
      <c r="V63" s="608" t="s">
        <v>417</v>
      </c>
      <c r="W63" s="609"/>
      <c r="X63" s="608" t="s">
        <v>733</v>
      </c>
      <c r="Y63" s="609"/>
      <c r="Z63" s="608" t="s">
        <v>733</v>
      </c>
      <c r="AA63" s="609"/>
      <c r="AB63" s="608" t="s">
        <v>417</v>
      </c>
      <c r="AC63" s="609"/>
      <c r="AD63" s="608" t="s">
        <v>733</v>
      </c>
      <c r="AE63" s="609"/>
      <c r="AF63" s="608" t="s">
        <v>733</v>
      </c>
      <c r="AG63" s="609"/>
      <c r="AH63" s="608" t="s">
        <v>733</v>
      </c>
      <c r="AI63" s="609"/>
      <c r="AJ63" s="608" t="s">
        <v>733</v>
      </c>
      <c r="AK63" s="609"/>
      <c r="AL63" s="608" t="s">
        <v>417</v>
      </c>
      <c r="AM63" s="609"/>
      <c r="AN63" s="608" t="s">
        <v>417</v>
      </c>
      <c r="AO63" s="609"/>
      <c r="AP63" s="608" t="s">
        <v>735</v>
      </c>
      <c r="AQ63" s="609"/>
      <c r="AR63" s="608" t="s">
        <v>417</v>
      </c>
      <c r="AS63" s="609"/>
      <c r="AT63" s="608" t="s">
        <v>733</v>
      </c>
      <c r="AU63" s="609"/>
      <c r="AV63" s="608" t="s">
        <v>733</v>
      </c>
      <c r="AW63" s="609"/>
      <c r="AX63" s="608" t="s">
        <v>733</v>
      </c>
      <c r="AY63" s="609"/>
      <c r="AZ63" s="608" t="s">
        <v>733</v>
      </c>
      <c r="BA63" s="609"/>
      <c r="BB63" s="608" t="s">
        <v>735</v>
      </c>
      <c r="BC63" s="609"/>
      <c r="BD63" s="608" t="s">
        <v>733</v>
      </c>
      <c r="BE63" s="609"/>
      <c r="BF63" s="608" t="s">
        <v>733</v>
      </c>
      <c r="BG63" s="609"/>
      <c r="BH63" s="608" t="s">
        <v>733</v>
      </c>
      <c r="BI63" s="609"/>
      <c r="BJ63" s="608" t="s">
        <v>735</v>
      </c>
      <c r="BK63" s="609"/>
      <c r="BL63" s="168"/>
      <c r="BM63" s="99"/>
    </row>
    <row r="64" spans="1:65" ht="31.15" customHeight="1" x14ac:dyDescent="0.2">
      <c r="A64" s="617" t="s">
        <v>416</v>
      </c>
      <c r="B64" s="618"/>
      <c r="C64" s="619"/>
      <c r="D64" s="610" t="s">
        <v>734</v>
      </c>
      <c r="E64" s="611"/>
      <c r="F64" s="610" t="s">
        <v>734</v>
      </c>
      <c r="G64" s="611"/>
      <c r="H64" s="610" t="s">
        <v>418</v>
      </c>
      <c r="I64" s="611"/>
      <c r="J64" s="610" t="s">
        <v>734</v>
      </c>
      <c r="K64" s="611"/>
      <c r="L64" s="610" t="s">
        <v>418</v>
      </c>
      <c r="M64" s="611"/>
      <c r="N64" s="610" t="s">
        <v>418</v>
      </c>
      <c r="O64" s="611"/>
      <c r="P64" s="610" t="s">
        <v>418</v>
      </c>
      <c r="Q64" s="611"/>
      <c r="R64" s="610" t="s">
        <v>418</v>
      </c>
      <c r="S64" s="611"/>
      <c r="T64" s="1032" t="s">
        <v>738</v>
      </c>
      <c r="U64" s="1033"/>
      <c r="V64" s="610" t="s">
        <v>418</v>
      </c>
      <c r="W64" s="611"/>
      <c r="X64" s="610" t="s">
        <v>734</v>
      </c>
      <c r="Y64" s="611"/>
      <c r="Z64" s="610" t="s">
        <v>734</v>
      </c>
      <c r="AA64" s="611"/>
      <c r="AB64" s="610" t="s">
        <v>418</v>
      </c>
      <c r="AC64" s="611"/>
      <c r="AD64" s="610" t="s">
        <v>734</v>
      </c>
      <c r="AE64" s="611"/>
      <c r="AF64" s="610" t="s">
        <v>734</v>
      </c>
      <c r="AG64" s="611"/>
      <c r="AH64" s="610" t="s">
        <v>734</v>
      </c>
      <c r="AI64" s="611"/>
      <c r="AJ64" s="610" t="s">
        <v>734</v>
      </c>
      <c r="AK64" s="611"/>
      <c r="AL64" s="610" t="s">
        <v>418</v>
      </c>
      <c r="AM64" s="611"/>
      <c r="AN64" s="610" t="s">
        <v>418</v>
      </c>
      <c r="AO64" s="611"/>
      <c r="AP64" s="610" t="s">
        <v>736</v>
      </c>
      <c r="AQ64" s="611"/>
      <c r="AR64" s="610" t="s">
        <v>418</v>
      </c>
      <c r="AS64" s="611"/>
      <c r="AT64" s="610" t="s">
        <v>734</v>
      </c>
      <c r="AU64" s="611"/>
      <c r="AV64" s="610" t="s">
        <v>734</v>
      </c>
      <c r="AW64" s="611"/>
      <c r="AX64" s="610" t="s">
        <v>734</v>
      </c>
      <c r="AY64" s="611"/>
      <c r="AZ64" s="610" t="s">
        <v>734</v>
      </c>
      <c r="BA64" s="611"/>
      <c r="BB64" s="610" t="s">
        <v>736</v>
      </c>
      <c r="BC64" s="611"/>
      <c r="BD64" s="610" t="s">
        <v>734</v>
      </c>
      <c r="BE64" s="611"/>
      <c r="BF64" s="610" t="s">
        <v>734</v>
      </c>
      <c r="BG64" s="611"/>
      <c r="BH64" s="610" t="s">
        <v>734</v>
      </c>
      <c r="BI64" s="611"/>
      <c r="BJ64" s="610" t="s">
        <v>736</v>
      </c>
      <c r="BK64" s="611"/>
      <c r="BL64" s="168"/>
      <c r="BM64" s="99"/>
    </row>
    <row r="65" spans="1:65" ht="15" customHeight="1" x14ac:dyDescent="0.2">
      <c r="A65" s="113"/>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3"/>
      <c r="AU65" s="113"/>
      <c r="AV65" s="113"/>
      <c r="AW65" s="113"/>
      <c r="AX65" s="113"/>
      <c r="AY65" s="113"/>
      <c r="AZ65" s="113"/>
      <c r="BA65" s="113"/>
      <c r="BB65" s="113"/>
      <c r="BC65" s="113"/>
      <c r="BD65" s="113"/>
      <c r="BE65" s="113"/>
      <c r="BF65" s="113"/>
      <c r="BG65" s="113"/>
      <c r="BH65" s="113"/>
      <c r="BI65" s="113"/>
      <c r="BJ65" s="113"/>
      <c r="BK65" s="113"/>
      <c r="BL65" s="172"/>
      <c r="BM65" s="99"/>
    </row>
    <row r="66" spans="1:65" ht="15" customHeight="1" x14ac:dyDescent="0.2">
      <c r="A66" s="113"/>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c r="BJ66" s="113"/>
      <c r="BK66" s="113"/>
      <c r="BL66" s="172"/>
      <c r="BM66" s="99"/>
    </row>
    <row r="67" spans="1:65" ht="33" customHeight="1" x14ac:dyDescent="0.2">
      <c r="A67" s="616" t="s">
        <v>134</v>
      </c>
      <c r="B67" s="616"/>
      <c r="C67" s="616"/>
      <c r="D67" s="616"/>
      <c r="E67" s="616"/>
      <c r="F67" s="616"/>
      <c r="G67" s="616"/>
      <c r="H67" s="616"/>
      <c r="I67" s="616"/>
      <c r="J67" s="616"/>
      <c r="K67" s="616"/>
      <c r="L67" s="616"/>
      <c r="M67" s="616"/>
      <c r="N67" s="616"/>
      <c r="O67" s="616"/>
      <c r="P67" s="616"/>
      <c r="Q67" s="616"/>
      <c r="R67" s="616"/>
      <c r="S67" s="616"/>
      <c r="T67" s="218"/>
      <c r="U67" s="218"/>
      <c r="V67" s="218"/>
      <c r="W67" s="218"/>
      <c r="X67" s="313"/>
      <c r="Y67" s="313"/>
      <c r="Z67" s="313"/>
      <c r="AA67" s="313"/>
      <c r="AB67" s="313"/>
      <c r="AC67" s="313"/>
      <c r="AD67" s="313"/>
      <c r="AE67" s="313"/>
      <c r="AF67" s="313"/>
      <c r="AG67" s="313"/>
      <c r="AH67" s="313"/>
      <c r="AI67" s="313"/>
      <c r="AJ67" s="313"/>
      <c r="AK67" s="313"/>
      <c r="AL67" s="313"/>
      <c r="AM67" s="313"/>
      <c r="AN67" s="313"/>
      <c r="AO67" s="313"/>
      <c r="AP67" s="313"/>
      <c r="AQ67" s="313"/>
      <c r="AR67" s="313"/>
      <c r="AS67" s="313"/>
      <c r="AT67" s="313"/>
      <c r="AU67" s="313"/>
      <c r="AV67" s="313"/>
      <c r="AW67" s="313"/>
      <c r="AX67" s="313"/>
      <c r="AY67" s="313"/>
      <c r="AZ67" s="313"/>
      <c r="BA67" s="313"/>
      <c r="BB67" s="314"/>
      <c r="BC67" s="314"/>
      <c r="BD67" s="314"/>
      <c r="BE67" s="314"/>
      <c r="BF67" s="314"/>
      <c r="BG67" s="314"/>
      <c r="BH67" s="314"/>
      <c r="BI67" s="314"/>
      <c r="BJ67" s="314"/>
      <c r="BK67" s="314"/>
      <c r="BL67" s="180"/>
    </row>
    <row r="68" spans="1:65" ht="33" customHeight="1" x14ac:dyDescent="0.3">
      <c r="A68" s="212" t="s">
        <v>266</v>
      </c>
      <c r="B68" s="213"/>
      <c r="C68" s="213"/>
      <c r="D68" s="213"/>
      <c r="E68" s="213"/>
      <c r="F68" s="213"/>
      <c r="G68" s="213"/>
      <c r="H68" s="218"/>
      <c r="I68" s="218"/>
      <c r="J68" s="218"/>
      <c r="K68" s="218"/>
      <c r="L68" s="218"/>
      <c r="M68" s="218"/>
      <c r="N68" s="218"/>
      <c r="O68" s="218"/>
      <c r="P68" s="218"/>
      <c r="Q68" s="218"/>
      <c r="R68" s="218"/>
      <c r="S68" s="218"/>
      <c r="T68" s="218"/>
      <c r="U68" s="218"/>
      <c r="V68" s="218"/>
      <c r="W68" s="218"/>
      <c r="X68" s="313"/>
      <c r="Y68" s="313"/>
      <c r="Z68" s="313"/>
      <c r="AA68" s="313"/>
      <c r="AB68" s="313"/>
      <c r="AC68" s="313"/>
      <c r="AD68" s="313"/>
      <c r="AE68" s="313"/>
      <c r="AF68" s="313"/>
      <c r="AG68" s="313"/>
      <c r="AH68" s="313"/>
      <c r="AI68" s="313"/>
      <c r="AJ68" s="313"/>
      <c r="AK68" s="313"/>
      <c r="AL68" s="313"/>
      <c r="AM68" s="313"/>
      <c r="AN68" s="313"/>
      <c r="AO68" s="313"/>
      <c r="AP68" s="313"/>
      <c r="AQ68" s="313"/>
      <c r="AR68" s="313"/>
      <c r="AS68" s="313"/>
      <c r="AT68" s="313"/>
      <c r="AU68" s="313"/>
      <c r="AV68" s="313"/>
      <c r="AW68" s="313"/>
      <c r="AX68" s="313"/>
      <c r="AY68" s="313"/>
      <c r="AZ68" s="313"/>
      <c r="BA68" s="313"/>
      <c r="BB68" s="314"/>
      <c r="BC68" s="314"/>
      <c r="BD68" s="314"/>
      <c r="BE68" s="314"/>
      <c r="BF68" s="314"/>
      <c r="BG68" s="314"/>
      <c r="BH68" s="314"/>
      <c r="BI68" s="314"/>
      <c r="BJ68" s="314"/>
      <c r="BK68" s="314"/>
      <c r="BL68" s="180"/>
    </row>
    <row r="69" spans="1:65" ht="37.5" customHeight="1" x14ac:dyDescent="0.2">
      <c r="A69" s="402" t="s">
        <v>423</v>
      </c>
      <c r="B69" s="403"/>
      <c r="C69" s="403"/>
      <c r="D69" s="403"/>
      <c r="E69" s="403"/>
      <c r="F69" s="403"/>
      <c r="G69" s="403"/>
      <c r="H69" s="403"/>
      <c r="I69" s="403"/>
      <c r="J69" s="218"/>
      <c r="K69" s="218"/>
      <c r="L69" s="218"/>
      <c r="M69" s="218"/>
      <c r="N69" s="218"/>
      <c r="O69" s="218"/>
      <c r="P69" s="218"/>
      <c r="Q69" s="218"/>
      <c r="R69" s="218"/>
      <c r="S69" s="218"/>
      <c r="T69" s="218"/>
      <c r="U69" s="218"/>
      <c r="V69" s="218"/>
      <c r="W69" s="218"/>
      <c r="X69" s="313"/>
      <c r="Y69" s="313"/>
      <c r="Z69" s="313"/>
      <c r="AA69" s="313"/>
      <c r="AB69" s="313"/>
      <c r="AC69" s="313"/>
      <c r="AD69" s="313"/>
      <c r="AE69" s="313"/>
      <c r="AF69" s="313"/>
      <c r="AG69" s="313"/>
      <c r="AH69" s="313"/>
      <c r="AI69" s="313"/>
      <c r="AJ69" s="313"/>
      <c r="AK69" s="313"/>
      <c r="AL69" s="313"/>
      <c r="AM69" s="313"/>
      <c r="AN69" s="313"/>
      <c r="AO69" s="313"/>
      <c r="AP69" s="313"/>
      <c r="AQ69" s="313"/>
      <c r="AR69" s="313"/>
      <c r="AS69" s="313"/>
      <c r="AT69" s="313"/>
      <c r="AU69" s="313"/>
      <c r="AV69" s="313"/>
      <c r="AW69" s="313"/>
      <c r="AX69" s="313"/>
      <c r="AY69" s="313"/>
      <c r="AZ69" s="313"/>
      <c r="BA69" s="313"/>
      <c r="BB69" s="314"/>
      <c r="BC69" s="314"/>
      <c r="BD69" s="314"/>
      <c r="BE69" s="314"/>
      <c r="BF69" s="314"/>
      <c r="BG69" s="314"/>
      <c r="BH69" s="314"/>
      <c r="BI69" s="314"/>
      <c r="BJ69" s="314"/>
      <c r="BK69" s="314"/>
      <c r="BL69" s="180"/>
    </row>
    <row r="70" spans="1:65" ht="23.25" customHeight="1" x14ac:dyDescent="0.2">
      <c r="A70" s="616" t="s">
        <v>491</v>
      </c>
      <c r="B70" s="616"/>
      <c r="C70" s="616"/>
      <c r="D70" s="616"/>
      <c r="E70" s="616"/>
      <c r="F70" s="616"/>
      <c r="G70" s="616"/>
      <c r="H70" s="616"/>
      <c r="I70" s="616"/>
      <c r="J70" s="616"/>
      <c r="K70" s="616"/>
      <c r="L70" s="616"/>
      <c r="M70" s="616"/>
      <c r="N70" s="616"/>
      <c r="O70" s="616"/>
      <c r="P70" s="616"/>
      <c r="Q70" s="616"/>
      <c r="R70" s="616"/>
      <c r="S70" s="616"/>
      <c r="T70" s="616"/>
      <c r="U70" s="616"/>
      <c r="V70" s="616"/>
      <c r="W70" s="616"/>
      <c r="X70" s="313"/>
      <c r="Y70" s="313"/>
      <c r="Z70" s="313"/>
      <c r="AA70" s="313"/>
      <c r="AB70" s="313"/>
      <c r="AC70" s="313"/>
      <c r="AD70" s="313"/>
      <c r="AE70" s="313"/>
      <c r="AF70" s="313"/>
      <c r="AG70" s="313"/>
      <c r="AH70" s="313"/>
      <c r="AI70" s="313"/>
      <c r="AJ70" s="313"/>
      <c r="AK70" s="313"/>
      <c r="AL70" s="313"/>
      <c r="AM70" s="313"/>
      <c r="AN70" s="313"/>
      <c r="AO70" s="313"/>
      <c r="AP70" s="313"/>
      <c r="AQ70" s="313"/>
      <c r="AR70" s="313"/>
      <c r="AS70" s="313"/>
      <c r="AT70" s="313"/>
      <c r="AU70" s="313"/>
      <c r="AV70" s="313"/>
      <c r="AW70" s="313"/>
      <c r="AX70" s="313"/>
      <c r="AY70" s="313"/>
      <c r="AZ70" s="313"/>
      <c r="BA70" s="313"/>
      <c r="BB70" s="314"/>
      <c r="BC70" s="314"/>
      <c r="BD70" s="314"/>
      <c r="BE70" s="314"/>
      <c r="BF70" s="314"/>
      <c r="BG70" s="314"/>
      <c r="BH70" s="314"/>
      <c r="BI70" s="314"/>
      <c r="BJ70" s="314"/>
      <c r="BK70" s="314"/>
      <c r="BL70" s="180"/>
    </row>
    <row r="71" spans="1:65" ht="23.25" hidden="1" customHeight="1" x14ac:dyDescent="0.2">
      <c r="A71" s="616"/>
      <c r="B71" s="616"/>
      <c r="C71" s="616"/>
      <c r="D71" s="616"/>
      <c r="E71" s="616"/>
      <c r="F71" s="616"/>
      <c r="G71" s="616"/>
      <c r="H71" s="616"/>
      <c r="I71" s="616"/>
      <c r="J71" s="616"/>
      <c r="K71" s="616"/>
      <c r="L71" s="616"/>
      <c r="M71" s="616"/>
      <c r="N71" s="616"/>
      <c r="O71" s="616"/>
      <c r="P71" s="616"/>
      <c r="Q71" s="616"/>
      <c r="R71" s="616"/>
      <c r="S71" s="616"/>
      <c r="T71" s="616"/>
      <c r="U71" s="616"/>
      <c r="V71" s="616"/>
      <c r="W71" s="616"/>
      <c r="X71" s="313"/>
      <c r="Y71" s="313"/>
      <c r="Z71" s="313"/>
      <c r="AA71" s="313"/>
      <c r="AB71" s="313"/>
      <c r="AC71" s="313"/>
      <c r="AD71" s="313"/>
      <c r="AE71" s="313"/>
      <c r="AF71" s="313"/>
      <c r="AG71" s="313"/>
      <c r="AH71" s="313"/>
      <c r="AI71" s="313"/>
      <c r="AJ71" s="313"/>
      <c r="AK71" s="313"/>
      <c r="AL71" s="313"/>
      <c r="AM71" s="313"/>
      <c r="AN71" s="313"/>
      <c r="AO71" s="313"/>
      <c r="AP71" s="313"/>
      <c r="AQ71" s="313"/>
      <c r="AR71" s="313"/>
      <c r="AS71" s="313"/>
      <c r="AT71" s="313"/>
      <c r="AU71" s="313"/>
      <c r="AV71" s="313"/>
      <c r="AW71" s="313"/>
      <c r="AX71" s="313"/>
      <c r="AY71" s="313"/>
      <c r="AZ71" s="313"/>
      <c r="BA71" s="313"/>
      <c r="BB71" s="314"/>
      <c r="BC71" s="314"/>
      <c r="BD71" s="314"/>
      <c r="BE71" s="314"/>
      <c r="BF71" s="314"/>
      <c r="BG71" s="314"/>
      <c r="BH71" s="314"/>
      <c r="BI71" s="314"/>
      <c r="BJ71" s="314"/>
      <c r="BK71" s="314"/>
    </row>
    <row r="72" spans="1:65" ht="20.25" x14ac:dyDescent="0.3">
      <c r="A72" s="214" t="s">
        <v>130</v>
      </c>
      <c r="B72" s="215"/>
      <c r="C72" s="215"/>
      <c r="D72" s="215"/>
      <c r="E72" s="215"/>
      <c r="F72" s="215"/>
      <c r="G72" s="215"/>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215"/>
      <c r="AL72" s="215"/>
      <c r="AM72" s="215"/>
      <c r="AN72" s="215"/>
      <c r="AO72" s="215"/>
      <c r="AP72" s="215"/>
      <c r="AQ72" s="215"/>
      <c r="AR72" s="215"/>
      <c r="AS72" s="215"/>
      <c r="AT72" s="215"/>
      <c r="AU72" s="215"/>
      <c r="AV72" s="215"/>
      <c r="AW72" s="215"/>
      <c r="AX72" s="215"/>
      <c r="AY72" s="215"/>
      <c r="AZ72" s="215"/>
      <c r="BA72" s="215"/>
      <c r="BB72" s="215"/>
      <c r="BC72" s="215"/>
      <c r="BD72" s="215"/>
      <c r="BE72" s="215"/>
      <c r="BF72" s="215"/>
      <c r="BG72" s="215"/>
      <c r="BH72" s="215"/>
      <c r="BI72" s="215"/>
      <c r="BJ72" s="215"/>
      <c r="BK72" s="215"/>
    </row>
    <row r="73" spans="1:65" ht="31.15" customHeight="1" x14ac:dyDescent="0.2">
      <c r="A73" s="616" t="s">
        <v>721</v>
      </c>
      <c r="B73" s="616"/>
      <c r="C73" s="616"/>
      <c r="D73" s="616"/>
      <c r="E73" s="616"/>
      <c r="F73" s="616"/>
      <c r="G73" s="616"/>
      <c r="H73" s="616"/>
      <c r="I73" s="616"/>
      <c r="J73" s="616"/>
      <c r="K73" s="616"/>
      <c r="L73" s="616"/>
      <c r="M73" s="616"/>
      <c r="N73" s="616"/>
      <c r="O73" s="616"/>
      <c r="P73" s="616"/>
      <c r="Q73" s="616"/>
      <c r="R73" s="616"/>
      <c r="S73" s="616"/>
      <c r="T73" s="218"/>
      <c r="U73" s="218"/>
      <c r="V73" s="218"/>
      <c r="W73" s="218"/>
      <c r="X73" s="313"/>
      <c r="Y73" s="313"/>
      <c r="Z73" s="313"/>
      <c r="AA73" s="313"/>
      <c r="AB73" s="313"/>
      <c r="AC73" s="313"/>
      <c r="AD73" s="313"/>
      <c r="AE73" s="313"/>
      <c r="AF73" s="313"/>
      <c r="AG73" s="313"/>
      <c r="AH73" s="313"/>
      <c r="AI73" s="313"/>
      <c r="AJ73" s="313"/>
      <c r="AK73" s="313"/>
      <c r="AL73" s="313"/>
      <c r="AM73" s="313"/>
      <c r="AN73" s="313"/>
      <c r="AO73" s="313"/>
      <c r="AP73" s="313"/>
      <c r="AQ73" s="313"/>
      <c r="AR73" s="313"/>
      <c r="AS73" s="313"/>
      <c r="AT73" s="313"/>
      <c r="AU73" s="313"/>
      <c r="AV73" s="313"/>
      <c r="AW73" s="313"/>
      <c r="AX73" s="313"/>
      <c r="AY73" s="313"/>
      <c r="AZ73" s="313"/>
      <c r="BA73" s="313"/>
      <c r="BB73" s="314"/>
      <c r="BC73" s="314"/>
      <c r="BD73" s="314"/>
      <c r="BE73" s="314"/>
      <c r="BF73" s="314"/>
      <c r="BG73" s="314"/>
      <c r="BH73" s="314"/>
      <c r="BI73" s="314"/>
      <c r="BJ73" s="314"/>
      <c r="BK73" s="314"/>
    </row>
    <row r="74" spans="1:65" ht="20.25" x14ac:dyDescent="0.3">
      <c r="A74" s="214" t="s">
        <v>263</v>
      </c>
      <c r="B74" s="214"/>
      <c r="C74" s="216"/>
      <c r="D74" s="216"/>
      <c r="E74" s="216"/>
      <c r="F74" s="216"/>
      <c r="G74" s="216"/>
      <c r="H74" s="216"/>
      <c r="I74" s="216"/>
      <c r="J74" s="216"/>
      <c r="K74" s="216"/>
      <c r="L74" s="216"/>
      <c r="M74" s="216"/>
      <c r="N74" s="216"/>
      <c r="O74" s="216"/>
      <c r="P74" s="216"/>
      <c r="Q74" s="216"/>
      <c r="R74" s="215"/>
      <c r="S74" s="215"/>
      <c r="T74" s="215"/>
      <c r="U74" s="215"/>
      <c r="V74" s="215"/>
      <c r="W74" s="215"/>
      <c r="X74" s="215"/>
      <c r="Y74" s="215"/>
      <c r="Z74" s="215"/>
      <c r="AA74" s="215"/>
      <c r="AB74" s="215"/>
      <c r="AC74" s="215"/>
      <c r="AD74" s="215"/>
      <c r="AE74" s="215"/>
      <c r="AF74" s="215"/>
      <c r="AG74" s="215"/>
      <c r="AH74" s="215"/>
      <c r="AI74" s="215"/>
      <c r="AJ74" s="215"/>
      <c r="AK74" s="215"/>
      <c r="AL74" s="215"/>
      <c r="AM74" s="215"/>
      <c r="AN74" s="215"/>
      <c r="AO74" s="215"/>
      <c r="AP74" s="215"/>
      <c r="AQ74" s="215"/>
      <c r="AR74" s="215"/>
      <c r="AS74" s="215"/>
      <c r="AT74" s="215"/>
      <c r="AU74" s="215"/>
      <c r="AV74" s="215"/>
      <c r="AW74" s="215"/>
      <c r="AX74" s="215"/>
      <c r="AY74" s="215"/>
      <c r="AZ74" s="215"/>
      <c r="BA74" s="215"/>
      <c r="BB74" s="215"/>
      <c r="BC74" s="215"/>
      <c r="BD74" s="215"/>
      <c r="BE74" s="215"/>
      <c r="BF74" s="215"/>
      <c r="BG74" s="215"/>
      <c r="BH74" s="215"/>
      <c r="BI74" s="215"/>
      <c r="BJ74" s="215"/>
      <c r="BK74" s="215"/>
    </row>
    <row r="75" spans="1:65" ht="20.25" x14ac:dyDescent="0.3">
      <c r="A75" s="214" t="s">
        <v>265</v>
      </c>
      <c r="B75" s="214"/>
      <c r="C75" s="216"/>
      <c r="D75" s="216"/>
      <c r="E75" s="216"/>
      <c r="F75" s="216"/>
      <c r="G75" s="216"/>
      <c r="H75" s="216"/>
      <c r="I75" s="216"/>
      <c r="J75" s="216"/>
      <c r="K75" s="216"/>
      <c r="L75" s="216"/>
      <c r="M75" s="216"/>
      <c r="N75" s="216"/>
      <c r="O75" s="216"/>
      <c r="P75" s="216"/>
      <c r="Q75" s="216"/>
      <c r="R75" s="215"/>
      <c r="S75" s="215"/>
      <c r="T75" s="215"/>
      <c r="U75" s="215"/>
      <c r="V75" s="215"/>
      <c r="W75" s="215"/>
      <c r="X75" s="215"/>
      <c r="Y75" s="215"/>
      <c r="Z75" s="215"/>
      <c r="AA75" s="215"/>
      <c r="AB75" s="215"/>
      <c r="AC75" s="215"/>
      <c r="AD75" s="215"/>
      <c r="AE75" s="215"/>
      <c r="AF75" s="215"/>
      <c r="AG75" s="215"/>
      <c r="AH75" s="215"/>
      <c r="AI75" s="215"/>
      <c r="AJ75" s="215"/>
      <c r="AK75" s="215"/>
      <c r="AL75" s="215"/>
      <c r="AM75" s="215"/>
      <c r="AN75" s="215"/>
      <c r="AO75" s="215"/>
      <c r="AP75" s="215"/>
      <c r="AQ75" s="215"/>
      <c r="AR75" s="215"/>
      <c r="AS75" s="215"/>
      <c r="AT75" s="215"/>
      <c r="AU75" s="215"/>
      <c r="AV75" s="215"/>
      <c r="AW75" s="215"/>
      <c r="AX75" s="215"/>
      <c r="AY75" s="215"/>
      <c r="AZ75" s="215"/>
      <c r="BA75" s="215"/>
      <c r="BB75" s="215"/>
      <c r="BC75" s="215"/>
      <c r="BD75" s="215"/>
      <c r="BE75" s="215"/>
      <c r="BF75" s="215"/>
      <c r="BG75" s="215"/>
      <c r="BH75" s="215"/>
      <c r="BI75" s="215"/>
      <c r="BJ75" s="215"/>
      <c r="BK75" s="215"/>
    </row>
    <row r="76" spans="1:65" ht="20.25" x14ac:dyDescent="0.3">
      <c r="A76" s="214" t="s">
        <v>394</v>
      </c>
      <c r="C76" s="215"/>
      <c r="D76" s="215"/>
      <c r="E76" s="215"/>
      <c r="F76" s="215"/>
      <c r="G76" s="215"/>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215"/>
      <c r="AL76" s="215"/>
      <c r="AM76" s="215"/>
      <c r="AN76" s="215"/>
      <c r="AO76" s="215"/>
      <c r="AP76" s="215"/>
      <c r="AQ76" s="215"/>
      <c r="AR76" s="215"/>
      <c r="AS76" s="215"/>
      <c r="AT76" s="215"/>
      <c r="AU76" s="215"/>
      <c r="AV76" s="215"/>
      <c r="AW76" s="215"/>
      <c r="AX76" s="215"/>
      <c r="AY76" s="215"/>
      <c r="AZ76" s="215"/>
      <c r="BA76" s="215"/>
      <c r="BB76" s="215"/>
      <c r="BC76" s="215"/>
      <c r="BD76" s="215"/>
      <c r="BE76" s="215"/>
      <c r="BF76" s="215"/>
      <c r="BG76" s="215"/>
      <c r="BH76" s="215"/>
      <c r="BI76" s="215"/>
      <c r="BJ76" s="215"/>
      <c r="BK76" s="215"/>
    </row>
    <row r="77" spans="1:65" ht="20.25" x14ac:dyDescent="0.3">
      <c r="A77" s="214" t="s">
        <v>469</v>
      </c>
    </row>
    <row r="78" spans="1:65" ht="20.25" x14ac:dyDescent="0.3">
      <c r="A78" s="214" t="s">
        <v>131</v>
      </c>
      <c r="B78" s="217">
        <f>(E62+G62+I62+K62+M62+O62+Q62+S62+U62+W62+Y62+AA62+AC62+AE62+AG62+AI62+AK62+AM62+AO62+AQ62+AS62+AU62+AW62+AY62+BA62+BC62+BE62+BG62+BI62+BK62)/30</f>
        <v>60.785407681555384</v>
      </c>
    </row>
    <row r="81" spans="1:2" ht="15" x14ac:dyDescent="0.2">
      <c r="A81" s="181"/>
      <c r="B81" s="182"/>
    </row>
    <row r="82" spans="1:2" ht="15" x14ac:dyDescent="0.2">
      <c r="A82" s="181"/>
      <c r="B82" s="182"/>
    </row>
    <row r="83" spans="1:2" ht="15" x14ac:dyDescent="0.2">
      <c r="A83" s="181"/>
      <c r="B83" s="182"/>
    </row>
    <row r="84" spans="1:2" ht="15" x14ac:dyDescent="0.2">
      <c r="A84" s="181"/>
      <c r="B84" s="182"/>
    </row>
    <row r="85" spans="1:2" ht="15" x14ac:dyDescent="0.2">
      <c r="A85" s="181"/>
      <c r="B85" s="183"/>
    </row>
    <row r="86" spans="1:2" x14ac:dyDescent="0.2">
      <c r="A86" s="182"/>
      <c r="B86" s="182"/>
    </row>
  </sheetData>
  <mergeCells count="111">
    <mergeCell ref="A2:BL2"/>
    <mergeCell ref="A3:BL3"/>
    <mergeCell ref="A4:A5"/>
    <mergeCell ref="B4:B6"/>
    <mergeCell ref="C4:C6"/>
    <mergeCell ref="D4:W4"/>
    <mergeCell ref="BL4:BL5"/>
    <mergeCell ref="D5:E5"/>
    <mergeCell ref="F5:G5"/>
    <mergeCell ref="H5:I5"/>
    <mergeCell ref="J5:K5"/>
    <mergeCell ref="L5:M5"/>
    <mergeCell ref="AD5:AE5"/>
    <mergeCell ref="Z5:AA5"/>
    <mergeCell ref="AB5:AC5"/>
    <mergeCell ref="AV5:AW5"/>
    <mergeCell ref="AF5:AG5"/>
    <mergeCell ref="AH5:AI5"/>
    <mergeCell ref="AJ5:AK5"/>
    <mergeCell ref="R5:S5"/>
    <mergeCell ref="T5:U5"/>
    <mergeCell ref="X5:Y5"/>
    <mergeCell ref="A62:B62"/>
    <mergeCell ref="N5:O5"/>
    <mergeCell ref="P5:Q5"/>
    <mergeCell ref="A63:C63"/>
    <mergeCell ref="V5:W5"/>
    <mergeCell ref="A7:B7"/>
    <mergeCell ref="A13:B13"/>
    <mergeCell ref="A40:B40"/>
    <mergeCell ref="A49:B49"/>
    <mergeCell ref="A36:B36"/>
    <mergeCell ref="A28:B28"/>
    <mergeCell ref="J63:K63"/>
    <mergeCell ref="A33:B33"/>
    <mergeCell ref="A73:S73"/>
    <mergeCell ref="T63:U63"/>
    <mergeCell ref="V63:W63"/>
    <mergeCell ref="A64:C64"/>
    <mergeCell ref="F63:G63"/>
    <mergeCell ref="H63:I63"/>
    <mergeCell ref="L63:M63"/>
    <mergeCell ref="N63:O63"/>
    <mergeCell ref="P63:Q63"/>
    <mergeCell ref="R63:S63"/>
    <mergeCell ref="A67:S67"/>
    <mergeCell ref="A70:W70"/>
    <mergeCell ref="A71:W71"/>
    <mergeCell ref="D63:E63"/>
    <mergeCell ref="D64:E64"/>
    <mergeCell ref="F64:G64"/>
    <mergeCell ref="J64:K64"/>
    <mergeCell ref="L64:M64"/>
    <mergeCell ref="N64:O64"/>
    <mergeCell ref="H64:I64"/>
    <mergeCell ref="P64:Q64"/>
    <mergeCell ref="R64:S64"/>
    <mergeCell ref="T64:U64"/>
    <mergeCell ref="V64:W64"/>
    <mergeCell ref="X63:Y63"/>
    <mergeCell ref="X64:Y64"/>
    <mergeCell ref="BH5:BI5"/>
    <mergeCell ref="BJ5:BK5"/>
    <mergeCell ref="AX5:AY5"/>
    <mergeCell ref="AZ5:BA5"/>
    <mergeCell ref="BB5:BC5"/>
    <mergeCell ref="BD5:BE5"/>
    <mergeCell ref="BF5:BG5"/>
    <mergeCell ref="AL5:AM5"/>
    <mergeCell ref="AN5:AO5"/>
    <mergeCell ref="AP5:AQ5"/>
    <mergeCell ref="AR5:AS5"/>
    <mergeCell ref="AT5:AU5"/>
    <mergeCell ref="AF63:AG63"/>
    <mergeCell ref="AF64:AG64"/>
    <mergeCell ref="AH63:AI63"/>
    <mergeCell ref="AH64:AI64"/>
    <mergeCell ref="AJ63:AK63"/>
    <mergeCell ref="AJ64:AK64"/>
    <mergeCell ref="Z63:AA63"/>
    <mergeCell ref="Z64:AA64"/>
    <mergeCell ref="AB63:AC63"/>
    <mergeCell ref="AB64:AC64"/>
    <mergeCell ref="AD63:AE63"/>
    <mergeCell ref="AD64:AE64"/>
    <mergeCell ref="AR63:AS63"/>
    <mergeCell ref="AR64:AS64"/>
    <mergeCell ref="AT63:AU63"/>
    <mergeCell ref="AT64:AU64"/>
    <mergeCell ref="AV63:AW63"/>
    <mergeCell ref="AV64:AW64"/>
    <mergeCell ref="AL63:AM63"/>
    <mergeCell ref="AL64:AM64"/>
    <mergeCell ref="AN63:AO63"/>
    <mergeCell ref="AN64:AO64"/>
    <mergeCell ref="AP63:AQ63"/>
    <mergeCell ref="AP64:AQ64"/>
    <mergeCell ref="BJ63:BK63"/>
    <mergeCell ref="BJ64:BK64"/>
    <mergeCell ref="BD63:BE63"/>
    <mergeCell ref="BD64:BE64"/>
    <mergeCell ref="BF63:BG63"/>
    <mergeCell ref="BF64:BG64"/>
    <mergeCell ref="BH63:BI63"/>
    <mergeCell ref="BH64:BI64"/>
    <mergeCell ref="AX63:AY63"/>
    <mergeCell ref="AX64:AY64"/>
    <mergeCell ref="AZ63:BA63"/>
    <mergeCell ref="AZ64:BA64"/>
    <mergeCell ref="BB63:BC63"/>
    <mergeCell ref="BB64:BC64"/>
  </mergeCells>
  <pageMargins left="0.31496062992125984" right="0.11811023622047245" top="0.35433070866141736" bottom="0.35433070866141736" header="0" footer="0"/>
  <pageSetup paperSize="9" scale="1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Z96"/>
  <sheetViews>
    <sheetView topLeftCell="B48" zoomScale="80" zoomScaleNormal="80" workbookViewId="0">
      <selection activeCell="D68" sqref="D68"/>
    </sheetView>
  </sheetViews>
  <sheetFormatPr defaultColWidth="8.85546875" defaultRowHeight="12.75" x14ac:dyDescent="0.2"/>
  <cols>
    <col min="1" max="1" width="13.42578125" style="2" customWidth="1"/>
    <col min="2" max="2" width="46.28515625" style="2" customWidth="1"/>
    <col min="3" max="3" width="17.85546875" style="2" customWidth="1"/>
    <col min="4" max="4" width="21.7109375" style="2" customWidth="1"/>
    <col min="5" max="5" width="19.7109375" style="2" customWidth="1"/>
    <col min="6" max="6" width="18.42578125" style="2" customWidth="1"/>
    <col min="7" max="7" width="13.5703125" style="2" customWidth="1"/>
    <col min="8" max="8" width="13.85546875" style="2" customWidth="1"/>
    <col min="9" max="9" width="16.5703125" style="2" customWidth="1"/>
    <col min="10" max="16384" width="8.85546875" style="2"/>
  </cols>
  <sheetData>
    <row r="1" spans="1:9" ht="15" x14ac:dyDescent="0.25">
      <c r="A1" s="108"/>
      <c r="B1" s="108"/>
      <c r="C1" s="108"/>
      <c r="F1" s="121" t="s">
        <v>23</v>
      </c>
    </row>
    <row r="2" spans="1:9" ht="72.75" customHeight="1" x14ac:dyDescent="0.2">
      <c r="B2" s="109"/>
      <c r="D2" s="870" t="s">
        <v>452</v>
      </c>
      <c r="E2" s="871"/>
      <c r="F2" s="871"/>
    </row>
    <row r="3" spans="1:9" ht="15" x14ac:dyDescent="0.25">
      <c r="B3" s="121"/>
      <c r="C3" s="411"/>
      <c r="D3" s="411"/>
      <c r="E3" s="411"/>
      <c r="F3" s="122"/>
    </row>
    <row r="4" spans="1:9" ht="15" x14ac:dyDescent="0.25">
      <c r="B4" s="121"/>
      <c r="C4" s="411"/>
      <c r="D4" s="411"/>
      <c r="E4" s="411"/>
      <c r="F4" s="122"/>
    </row>
    <row r="5" spans="1:9" ht="20.25" customHeight="1" x14ac:dyDescent="0.25">
      <c r="B5" s="121"/>
      <c r="C5" s="411"/>
      <c r="D5" s="411"/>
      <c r="E5" s="411"/>
      <c r="F5" s="122"/>
    </row>
    <row r="6" spans="1:9" x14ac:dyDescent="0.2">
      <c r="A6" s="110"/>
      <c r="B6" s="110"/>
      <c r="C6" s="110"/>
      <c r="D6" s="123"/>
      <c r="E6" s="122"/>
      <c r="F6" s="122"/>
    </row>
    <row r="7" spans="1:9" ht="15" customHeight="1" x14ac:dyDescent="0.3">
      <c r="A7" s="797" t="s">
        <v>17</v>
      </c>
      <c r="B7" s="797"/>
      <c r="C7" s="797"/>
      <c r="D7" s="797"/>
      <c r="E7" s="122"/>
      <c r="F7" s="122"/>
    </row>
    <row r="8" spans="1:9" ht="35.25" customHeight="1" x14ac:dyDescent="0.3">
      <c r="A8" s="798" t="s">
        <v>522</v>
      </c>
      <c r="B8" s="798"/>
      <c r="C8" s="798"/>
      <c r="D8" s="798"/>
      <c r="E8" s="798"/>
      <c r="F8" s="122"/>
    </row>
    <row r="9" spans="1:9" ht="15.75" customHeight="1" x14ac:dyDescent="0.3">
      <c r="A9" s="111"/>
      <c r="B9" s="111"/>
      <c r="C9" s="111"/>
      <c r="D9" s="111"/>
      <c r="E9" s="122"/>
      <c r="F9" s="122"/>
    </row>
    <row r="10" spans="1:9" ht="15" x14ac:dyDescent="0.25">
      <c r="A10" s="759" t="s">
        <v>453</v>
      </c>
      <c r="B10" s="759"/>
      <c r="C10" s="759"/>
      <c r="D10" s="759"/>
      <c r="E10" s="122"/>
      <c r="F10" s="122"/>
    </row>
    <row r="11" spans="1:9" ht="6" customHeight="1" x14ac:dyDescent="0.2">
      <c r="A11" s="112"/>
      <c r="B11" s="112"/>
      <c r="C11" s="112"/>
      <c r="D11" s="112"/>
      <c r="E11" s="122"/>
      <c r="F11" s="122"/>
    </row>
    <row r="12" spans="1:9" ht="15" x14ac:dyDescent="0.25">
      <c r="C12" s="124"/>
      <c r="D12" s="124"/>
      <c r="E12" s="122"/>
      <c r="F12" s="122"/>
    </row>
    <row r="13" spans="1:9" ht="12.95" customHeight="1" x14ac:dyDescent="0.25">
      <c r="A13" s="777" t="s">
        <v>454</v>
      </c>
      <c r="B13" s="777"/>
      <c r="C13" s="124"/>
      <c r="E13" s="122"/>
      <c r="F13" s="121" t="s">
        <v>18</v>
      </c>
    </row>
    <row r="14" spans="1:9" ht="117" customHeight="1" x14ac:dyDescent="0.2">
      <c r="A14" s="822" t="s">
        <v>19</v>
      </c>
      <c r="B14" s="822" t="s">
        <v>20</v>
      </c>
      <c r="C14" s="822" t="s">
        <v>694</v>
      </c>
      <c r="D14" s="822" t="s">
        <v>21</v>
      </c>
      <c r="E14" s="822" t="s">
        <v>46</v>
      </c>
      <c r="F14" s="822" t="s">
        <v>695</v>
      </c>
      <c r="G14" s="874" t="s">
        <v>696</v>
      </c>
      <c r="H14" s="875"/>
      <c r="I14" s="876"/>
    </row>
    <row r="15" spans="1:9" ht="155.25" customHeight="1" x14ac:dyDescent="0.2">
      <c r="A15" s="822"/>
      <c r="B15" s="822"/>
      <c r="C15" s="822"/>
      <c r="D15" s="822"/>
      <c r="E15" s="822"/>
      <c r="F15" s="873"/>
      <c r="G15" s="487" t="s">
        <v>702</v>
      </c>
      <c r="H15" s="488" t="s">
        <v>700</v>
      </c>
      <c r="I15" s="488" t="s">
        <v>697</v>
      </c>
    </row>
    <row r="16" spans="1:9" ht="18.95" customHeight="1" x14ac:dyDescent="0.25">
      <c r="A16" s="126">
        <v>1</v>
      </c>
      <c r="B16" s="126">
        <v>2</v>
      </c>
      <c r="C16" s="126">
        <v>3</v>
      </c>
      <c r="D16" s="126">
        <v>4</v>
      </c>
      <c r="E16" s="127">
        <v>5</v>
      </c>
      <c r="F16" s="127">
        <v>6</v>
      </c>
      <c r="G16" s="127">
        <v>7</v>
      </c>
      <c r="H16" s="489">
        <v>8</v>
      </c>
      <c r="I16" s="489">
        <v>9</v>
      </c>
    </row>
    <row r="17" spans="1:9" ht="30" x14ac:dyDescent="0.2">
      <c r="A17" s="538">
        <v>557</v>
      </c>
      <c r="B17" s="538" t="s">
        <v>268</v>
      </c>
      <c r="C17" s="414">
        <v>15</v>
      </c>
      <c r="D17" s="440">
        <v>6884.7</v>
      </c>
      <c r="E17" s="414">
        <v>0</v>
      </c>
      <c r="F17" s="414">
        <v>15</v>
      </c>
      <c r="G17" s="953">
        <f>100*((F17-C17)/F17)</f>
        <v>0</v>
      </c>
      <c r="H17" s="953" t="s">
        <v>698</v>
      </c>
      <c r="I17" s="953">
        <v>1</v>
      </c>
    </row>
    <row r="18" spans="1:9" ht="46.5" customHeight="1" x14ac:dyDescent="0.2">
      <c r="A18" s="538">
        <v>559</v>
      </c>
      <c r="B18" s="538" t="s">
        <v>292</v>
      </c>
      <c r="C18" s="414">
        <v>8489.2000000000007</v>
      </c>
      <c r="D18" s="440">
        <v>31605.3</v>
      </c>
      <c r="E18" s="414">
        <v>0</v>
      </c>
      <c r="F18" s="414">
        <v>7977.6</v>
      </c>
      <c r="G18" s="965">
        <f>100*((C18-F18)/F18)</f>
        <v>6.4129562775772211</v>
      </c>
      <c r="H18" s="953" t="s">
        <v>699</v>
      </c>
      <c r="I18" s="953">
        <v>0.5</v>
      </c>
    </row>
    <row r="19" spans="1:9" ht="30.75" customHeight="1" x14ac:dyDescent="0.2">
      <c r="A19" s="538">
        <v>560</v>
      </c>
      <c r="B19" s="541" t="s">
        <v>291</v>
      </c>
      <c r="C19" s="414">
        <v>1415.4</v>
      </c>
      <c r="D19" s="440">
        <v>6.7</v>
      </c>
      <c r="E19" s="414">
        <v>6.7</v>
      </c>
      <c r="F19" s="966">
        <v>2835.4</v>
      </c>
      <c r="G19" s="965">
        <f>100*((F19-C19)/F19)</f>
        <v>50.081117302673341</v>
      </c>
      <c r="H19" s="953" t="s">
        <v>698</v>
      </c>
      <c r="I19" s="953">
        <v>1</v>
      </c>
    </row>
    <row r="20" spans="1:9" ht="30" customHeight="1" x14ac:dyDescent="0.2">
      <c r="A20" s="538">
        <v>601</v>
      </c>
      <c r="B20" s="538" t="s">
        <v>271</v>
      </c>
      <c r="C20" s="414">
        <v>0</v>
      </c>
      <c r="D20" s="440">
        <v>1411.1</v>
      </c>
      <c r="E20" s="414">
        <v>0</v>
      </c>
      <c r="F20" s="414">
        <v>0</v>
      </c>
      <c r="G20" s="953" t="e">
        <f>100*((F20-C20)/F20)</f>
        <v>#DIV/0!</v>
      </c>
      <c r="H20" s="953" t="s">
        <v>698</v>
      </c>
      <c r="I20" s="953">
        <v>1</v>
      </c>
    </row>
    <row r="21" spans="1:9" ht="30" customHeight="1" x14ac:dyDescent="0.2">
      <c r="A21" s="538">
        <v>602</v>
      </c>
      <c r="B21" s="538" t="s">
        <v>320</v>
      </c>
      <c r="C21" s="967" t="s">
        <v>468</v>
      </c>
      <c r="D21" s="967" t="s">
        <v>468</v>
      </c>
      <c r="E21" s="414">
        <v>0</v>
      </c>
      <c r="F21" s="967" t="s">
        <v>468</v>
      </c>
      <c r="G21" s="967" t="s">
        <v>468</v>
      </c>
      <c r="H21" s="967" t="s">
        <v>468</v>
      </c>
      <c r="I21" s="967" t="s">
        <v>468</v>
      </c>
    </row>
    <row r="22" spans="1:9" ht="25.5" customHeight="1" x14ac:dyDescent="0.2">
      <c r="A22" s="538">
        <v>603</v>
      </c>
      <c r="B22" s="537" t="s">
        <v>293</v>
      </c>
      <c r="C22" s="414">
        <v>700</v>
      </c>
      <c r="D22" s="440">
        <v>797.3</v>
      </c>
      <c r="E22" s="414">
        <v>0</v>
      </c>
      <c r="F22" s="414">
        <v>707</v>
      </c>
      <c r="G22" s="968">
        <f t="shared" ref="G22:G36" si="0">100*((F22-C22)/F22)</f>
        <v>0.99009900990099009</v>
      </c>
      <c r="H22" s="953" t="s">
        <v>698</v>
      </c>
      <c r="I22" s="953">
        <v>1</v>
      </c>
    </row>
    <row r="23" spans="1:9" ht="24.75" customHeight="1" x14ac:dyDescent="0.2">
      <c r="A23" s="538">
        <v>604</v>
      </c>
      <c r="B23" s="538" t="s">
        <v>294</v>
      </c>
      <c r="C23" s="414">
        <v>0</v>
      </c>
      <c r="D23" s="440">
        <v>1.1000000000000001</v>
      </c>
      <c r="E23" s="414">
        <v>0</v>
      </c>
      <c r="F23" s="414">
        <v>0</v>
      </c>
      <c r="G23" s="965" t="e">
        <f t="shared" si="0"/>
        <v>#DIV/0!</v>
      </c>
      <c r="H23" s="953" t="s">
        <v>698</v>
      </c>
      <c r="I23" s="953">
        <v>1</v>
      </c>
    </row>
    <row r="24" spans="1:9" ht="27" customHeight="1" x14ac:dyDescent="0.2">
      <c r="A24" s="538">
        <v>605</v>
      </c>
      <c r="B24" s="537" t="s">
        <v>295</v>
      </c>
      <c r="C24" s="414">
        <v>52</v>
      </c>
      <c r="D24" s="440">
        <v>105.4</v>
      </c>
      <c r="E24" s="414">
        <v>0</v>
      </c>
      <c r="F24" s="414">
        <v>52</v>
      </c>
      <c r="G24" s="968">
        <f t="shared" si="0"/>
        <v>0</v>
      </c>
      <c r="H24" s="953" t="s">
        <v>698</v>
      </c>
      <c r="I24" s="953">
        <v>1</v>
      </c>
    </row>
    <row r="25" spans="1:9" ht="21.75" customHeight="1" x14ac:dyDescent="0.2">
      <c r="A25" s="538">
        <v>606</v>
      </c>
      <c r="B25" s="540" t="s">
        <v>290</v>
      </c>
      <c r="C25" s="414">
        <v>2862</v>
      </c>
      <c r="D25" s="440">
        <v>14845.1</v>
      </c>
      <c r="E25" s="414">
        <v>4.5</v>
      </c>
      <c r="F25" s="414">
        <v>2862</v>
      </c>
      <c r="G25" s="968">
        <f t="shared" si="0"/>
        <v>0</v>
      </c>
      <c r="H25" s="953" t="s">
        <v>698</v>
      </c>
      <c r="I25" s="953">
        <v>1</v>
      </c>
    </row>
    <row r="26" spans="1:9" ht="21.75" customHeight="1" x14ac:dyDescent="0.2">
      <c r="A26" s="538">
        <v>608</v>
      </c>
      <c r="B26" s="538" t="s">
        <v>296</v>
      </c>
      <c r="C26" s="414">
        <v>800</v>
      </c>
      <c r="D26" s="440">
        <v>1246.3</v>
      </c>
      <c r="E26" s="414">
        <v>0</v>
      </c>
      <c r="F26" s="414">
        <v>800</v>
      </c>
      <c r="G26" s="968">
        <f t="shared" si="0"/>
        <v>0</v>
      </c>
      <c r="H26" s="953" t="s">
        <v>698</v>
      </c>
      <c r="I26" s="953">
        <v>1</v>
      </c>
    </row>
    <row r="27" spans="1:9" ht="36" customHeight="1" x14ac:dyDescent="0.2">
      <c r="A27" s="538">
        <v>685</v>
      </c>
      <c r="B27" s="538" t="s">
        <v>282</v>
      </c>
      <c r="C27" s="414">
        <v>0</v>
      </c>
      <c r="D27" s="440">
        <v>0</v>
      </c>
      <c r="E27" s="414">
        <v>0</v>
      </c>
      <c r="F27" s="414">
        <v>0</v>
      </c>
      <c r="G27" s="965" t="e">
        <f t="shared" si="0"/>
        <v>#DIV/0!</v>
      </c>
      <c r="H27" s="953" t="s">
        <v>698</v>
      </c>
      <c r="I27" s="953">
        <v>1</v>
      </c>
    </row>
    <row r="28" spans="1:9" ht="27" customHeight="1" x14ac:dyDescent="0.2">
      <c r="A28" s="538">
        <v>686</v>
      </c>
      <c r="B28" s="537" t="s">
        <v>297</v>
      </c>
      <c r="C28" s="969">
        <v>0</v>
      </c>
      <c r="D28" s="440">
        <v>13026.7</v>
      </c>
      <c r="E28" s="414">
        <v>0</v>
      </c>
      <c r="F28" s="966">
        <v>0</v>
      </c>
      <c r="G28" s="965" t="e">
        <f t="shared" si="0"/>
        <v>#DIV/0!</v>
      </c>
      <c r="H28" s="953" t="s">
        <v>698</v>
      </c>
      <c r="I28" s="953">
        <v>1</v>
      </c>
    </row>
    <row r="29" spans="1:9" ht="23.25" customHeight="1" x14ac:dyDescent="0.2">
      <c r="A29" s="538">
        <v>688</v>
      </c>
      <c r="B29" s="538" t="s">
        <v>283</v>
      </c>
      <c r="C29" s="414">
        <v>0</v>
      </c>
      <c r="D29" s="440">
        <v>0</v>
      </c>
      <c r="E29" s="414">
        <v>0</v>
      </c>
      <c r="F29" s="414">
        <v>0</v>
      </c>
      <c r="G29" s="965" t="e">
        <f t="shared" si="0"/>
        <v>#DIV/0!</v>
      </c>
      <c r="H29" s="953" t="s">
        <v>698</v>
      </c>
      <c r="I29" s="953">
        <v>1</v>
      </c>
    </row>
    <row r="30" spans="1:9" ht="26.25" customHeight="1" x14ac:dyDescent="0.2">
      <c r="A30" s="538">
        <v>691</v>
      </c>
      <c r="B30" s="538" t="s">
        <v>298</v>
      </c>
      <c r="C30" s="414">
        <v>20661</v>
      </c>
      <c r="D30" s="440">
        <v>19768</v>
      </c>
      <c r="E30" s="414">
        <v>0</v>
      </c>
      <c r="F30" s="414">
        <v>20661</v>
      </c>
      <c r="G30" s="965">
        <f t="shared" si="0"/>
        <v>0</v>
      </c>
      <c r="H30" s="953" t="s">
        <v>698</v>
      </c>
      <c r="I30" s="953">
        <v>1</v>
      </c>
    </row>
    <row r="31" spans="1:9" ht="43.9" customHeight="1" x14ac:dyDescent="0.2">
      <c r="A31" s="538">
        <v>692</v>
      </c>
      <c r="B31" s="538" t="s">
        <v>281</v>
      </c>
      <c r="C31" s="414">
        <v>0</v>
      </c>
      <c r="D31" s="440">
        <v>0</v>
      </c>
      <c r="E31" s="414">
        <v>0</v>
      </c>
      <c r="F31" s="414">
        <v>0</v>
      </c>
      <c r="G31" s="965" t="e">
        <f t="shared" si="0"/>
        <v>#DIV/0!</v>
      </c>
      <c r="H31" s="953" t="s">
        <v>698</v>
      </c>
      <c r="I31" s="953">
        <v>1</v>
      </c>
    </row>
    <row r="32" spans="1:9" ht="43.9" customHeight="1" x14ac:dyDescent="0.2">
      <c r="A32" s="538">
        <v>696</v>
      </c>
      <c r="B32" s="541" t="s">
        <v>299</v>
      </c>
      <c r="C32" s="414">
        <v>0</v>
      </c>
      <c r="D32" s="440">
        <v>0</v>
      </c>
      <c r="E32" s="414">
        <v>0</v>
      </c>
      <c r="F32" s="414">
        <v>0</v>
      </c>
      <c r="G32" s="965" t="e">
        <f t="shared" si="0"/>
        <v>#DIV/0!</v>
      </c>
      <c r="H32" s="953" t="s">
        <v>698</v>
      </c>
      <c r="I32" s="953">
        <v>1</v>
      </c>
    </row>
    <row r="33" spans="1:9" ht="43.9" customHeight="1" x14ac:dyDescent="0.2">
      <c r="A33" s="538">
        <v>697</v>
      </c>
      <c r="B33" s="538" t="s">
        <v>269</v>
      </c>
      <c r="C33" s="414">
        <v>3163</v>
      </c>
      <c r="D33" s="440">
        <v>4199.1000000000004</v>
      </c>
      <c r="E33" s="414">
        <v>0</v>
      </c>
      <c r="F33" s="414">
        <v>3163</v>
      </c>
      <c r="G33" s="965">
        <f t="shared" si="0"/>
        <v>0</v>
      </c>
      <c r="H33" s="953" t="s">
        <v>698</v>
      </c>
      <c r="I33" s="953">
        <v>1</v>
      </c>
    </row>
    <row r="34" spans="1:9" ht="30" customHeight="1" x14ac:dyDescent="0.2">
      <c r="A34" s="538">
        <v>698</v>
      </c>
      <c r="B34" s="538" t="s">
        <v>286</v>
      </c>
      <c r="C34" s="414">
        <v>0</v>
      </c>
      <c r="D34" s="440">
        <v>0</v>
      </c>
      <c r="E34" s="414">
        <v>0</v>
      </c>
      <c r="F34" s="414">
        <v>0</v>
      </c>
      <c r="G34" s="965" t="e">
        <f t="shared" si="0"/>
        <v>#DIV/0!</v>
      </c>
      <c r="H34" s="953" t="s">
        <v>698</v>
      </c>
      <c r="I34" s="953">
        <v>1</v>
      </c>
    </row>
    <row r="35" spans="1:9" ht="27" customHeight="1" x14ac:dyDescent="0.2">
      <c r="A35" s="538">
        <v>699</v>
      </c>
      <c r="B35" s="541" t="s">
        <v>300</v>
      </c>
      <c r="C35" s="414">
        <v>60</v>
      </c>
      <c r="D35" s="440">
        <v>1674.8</v>
      </c>
      <c r="E35" s="414">
        <v>0</v>
      </c>
      <c r="F35" s="414">
        <v>70</v>
      </c>
      <c r="G35" s="965">
        <f t="shared" si="0"/>
        <v>14.285714285714285</v>
      </c>
      <c r="H35" s="953" t="s">
        <v>699</v>
      </c>
      <c r="I35" s="953">
        <v>0.5</v>
      </c>
    </row>
    <row r="36" spans="1:9" ht="43.9" customHeight="1" x14ac:dyDescent="0.2">
      <c r="A36" s="538">
        <v>700</v>
      </c>
      <c r="B36" s="538" t="s">
        <v>270</v>
      </c>
      <c r="C36" s="414">
        <v>0</v>
      </c>
      <c r="D36" s="440">
        <v>640.79999999999995</v>
      </c>
      <c r="E36" s="414">
        <v>41.3</v>
      </c>
      <c r="F36" s="414">
        <v>0</v>
      </c>
      <c r="G36" s="965" t="e">
        <f t="shared" si="0"/>
        <v>#DIV/0!</v>
      </c>
      <c r="H36" s="953" t="s">
        <v>698</v>
      </c>
      <c r="I36" s="953">
        <v>1</v>
      </c>
    </row>
    <row r="37" spans="1:9" ht="35.25" customHeight="1" x14ac:dyDescent="0.2">
      <c r="A37" s="538">
        <v>701</v>
      </c>
      <c r="B37" s="538" t="s">
        <v>274</v>
      </c>
      <c r="C37" s="967" t="s">
        <v>468</v>
      </c>
      <c r="D37" s="967" t="s">
        <v>468</v>
      </c>
      <c r="E37" s="414">
        <v>0</v>
      </c>
      <c r="F37" s="967" t="s">
        <v>468</v>
      </c>
      <c r="G37" s="967" t="s">
        <v>468</v>
      </c>
      <c r="H37" s="967" t="s">
        <v>468</v>
      </c>
      <c r="I37" s="967" t="s">
        <v>468</v>
      </c>
    </row>
    <row r="38" spans="1:9" ht="31.5" customHeight="1" x14ac:dyDescent="0.2">
      <c r="A38" s="538">
        <v>702</v>
      </c>
      <c r="B38" s="541" t="s">
        <v>301</v>
      </c>
      <c r="C38" s="414">
        <v>2081.9</v>
      </c>
      <c r="D38" s="440">
        <v>4744</v>
      </c>
      <c r="E38" s="414">
        <v>6.5</v>
      </c>
      <c r="F38" s="414">
        <v>2493.6</v>
      </c>
      <c r="G38" s="965">
        <f t="shared" ref="G38:G45" si="1">100*((F38-C38)/F38)</f>
        <v>16.510266281681098</v>
      </c>
      <c r="H38" s="953" t="s">
        <v>701</v>
      </c>
      <c r="I38" s="953">
        <v>0</v>
      </c>
    </row>
    <row r="39" spans="1:9" ht="24.75" customHeight="1" x14ac:dyDescent="0.2">
      <c r="A39" s="538">
        <v>705</v>
      </c>
      <c r="B39" s="538" t="s">
        <v>275</v>
      </c>
      <c r="C39" s="414">
        <v>0</v>
      </c>
      <c r="D39" s="440">
        <v>0</v>
      </c>
      <c r="E39" s="414">
        <v>0</v>
      </c>
      <c r="F39" s="414">
        <v>0</v>
      </c>
      <c r="G39" s="965" t="e">
        <f t="shared" si="1"/>
        <v>#DIV/0!</v>
      </c>
      <c r="H39" s="953" t="s">
        <v>698</v>
      </c>
      <c r="I39" s="953">
        <v>1</v>
      </c>
    </row>
    <row r="40" spans="1:9" ht="43.9" customHeight="1" x14ac:dyDescent="0.2">
      <c r="A40" s="538">
        <v>820</v>
      </c>
      <c r="B40" s="538" t="s">
        <v>276</v>
      </c>
      <c r="C40" s="414">
        <v>0</v>
      </c>
      <c r="D40" s="440">
        <v>0</v>
      </c>
      <c r="E40" s="414">
        <v>0</v>
      </c>
      <c r="F40" s="414">
        <v>0</v>
      </c>
      <c r="G40" s="965" t="e">
        <f t="shared" si="1"/>
        <v>#DIV/0!</v>
      </c>
      <c r="H40" s="953" t="s">
        <v>698</v>
      </c>
      <c r="I40" s="953">
        <v>1</v>
      </c>
    </row>
    <row r="41" spans="1:9" ht="43.9" customHeight="1" x14ac:dyDescent="0.2">
      <c r="A41" s="538">
        <v>830</v>
      </c>
      <c r="B41" s="538" t="s">
        <v>277</v>
      </c>
      <c r="C41" s="414">
        <v>0</v>
      </c>
      <c r="D41" s="440">
        <v>0</v>
      </c>
      <c r="E41" s="414">
        <v>0</v>
      </c>
      <c r="F41" s="414">
        <v>0</v>
      </c>
      <c r="G41" s="965" t="e">
        <f t="shared" si="1"/>
        <v>#DIV/0!</v>
      </c>
      <c r="H41" s="953" t="s">
        <v>698</v>
      </c>
      <c r="I41" s="953">
        <v>1</v>
      </c>
    </row>
    <row r="42" spans="1:9" ht="43.9" customHeight="1" x14ac:dyDescent="0.2">
      <c r="A42" s="538">
        <v>840</v>
      </c>
      <c r="B42" s="538" t="s">
        <v>278</v>
      </c>
      <c r="C42" s="414">
        <v>0</v>
      </c>
      <c r="D42" s="440">
        <v>9</v>
      </c>
      <c r="E42" s="414">
        <v>0</v>
      </c>
      <c r="F42" s="414">
        <v>0</v>
      </c>
      <c r="G42" s="965" t="e">
        <f t="shared" si="1"/>
        <v>#DIV/0!</v>
      </c>
      <c r="H42" s="953" t="s">
        <v>698</v>
      </c>
      <c r="I42" s="953">
        <v>1</v>
      </c>
    </row>
    <row r="43" spans="1:9" ht="43.9" customHeight="1" x14ac:dyDescent="0.2">
      <c r="A43" s="538">
        <v>850</v>
      </c>
      <c r="B43" s="538" t="s">
        <v>279</v>
      </c>
      <c r="C43" s="414">
        <v>0</v>
      </c>
      <c r="D43" s="440">
        <v>0</v>
      </c>
      <c r="E43" s="414">
        <v>0</v>
      </c>
      <c r="F43" s="414">
        <v>0</v>
      </c>
      <c r="G43" s="965" t="e">
        <f t="shared" si="1"/>
        <v>#DIV/0!</v>
      </c>
      <c r="H43" s="953" t="s">
        <v>698</v>
      </c>
      <c r="I43" s="953">
        <v>1</v>
      </c>
    </row>
    <row r="44" spans="1:9" ht="43.9" customHeight="1" x14ac:dyDescent="0.2">
      <c r="A44" s="538">
        <v>860</v>
      </c>
      <c r="B44" s="538" t="s">
        <v>280</v>
      </c>
      <c r="C44" s="414">
        <v>0</v>
      </c>
      <c r="D44" s="440">
        <v>0</v>
      </c>
      <c r="E44" s="414">
        <v>0</v>
      </c>
      <c r="F44" s="414">
        <v>0</v>
      </c>
      <c r="G44" s="965" t="e">
        <f t="shared" si="1"/>
        <v>#DIV/0!</v>
      </c>
      <c r="H44" s="953" t="s">
        <v>698</v>
      </c>
      <c r="I44" s="953">
        <v>1</v>
      </c>
    </row>
    <row r="45" spans="1:9" ht="43.9" customHeight="1" x14ac:dyDescent="0.2">
      <c r="A45" s="538">
        <v>870</v>
      </c>
      <c r="B45" s="538" t="s">
        <v>272</v>
      </c>
      <c r="C45" s="414">
        <v>0</v>
      </c>
      <c r="D45" s="440">
        <v>6.7</v>
      </c>
      <c r="E45" s="414">
        <v>6.7</v>
      </c>
      <c r="F45" s="414">
        <v>0</v>
      </c>
      <c r="G45" s="965" t="e">
        <f t="shared" si="1"/>
        <v>#DIV/0!</v>
      </c>
      <c r="H45" s="953" t="s">
        <v>698</v>
      </c>
      <c r="I45" s="953">
        <v>1</v>
      </c>
    </row>
    <row r="46" spans="1:9" ht="43.9" customHeight="1" x14ac:dyDescent="0.2">
      <c r="A46" s="538">
        <v>880</v>
      </c>
      <c r="B46" s="538" t="s">
        <v>273</v>
      </c>
      <c r="C46" s="414">
        <v>16.600000000000001</v>
      </c>
      <c r="D46" s="440">
        <v>0.7</v>
      </c>
      <c r="E46" s="414">
        <v>0</v>
      </c>
      <c r="F46" s="414">
        <v>13.9</v>
      </c>
      <c r="G46" s="965">
        <f>100*((C46-F46)/F46)</f>
        <v>19.424460431654683</v>
      </c>
      <c r="H46" s="953" t="s">
        <v>701</v>
      </c>
      <c r="I46" s="953">
        <v>0</v>
      </c>
    </row>
    <row r="47" spans="1:9" ht="42.6" customHeight="1" x14ac:dyDescent="0.25">
      <c r="A47" s="872" t="s">
        <v>284</v>
      </c>
      <c r="B47" s="872"/>
      <c r="C47" s="872"/>
      <c r="D47" s="243">
        <v>1439855</v>
      </c>
      <c r="E47" s="115" t="s">
        <v>182</v>
      </c>
      <c r="F47" s="114"/>
    </row>
    <row r="48" spans="1:9" ht="32.450000000000003" customHeight="1" x14ac:dyDescent="0.25">
      <c r="A48" s="872" t="s">
        <v>285</v>
      </c>
      <c r="B48" s="872"/>
      <c r="C48" s="872"/>
      <c r="D48" s="243">
        <v>1745323.7</v>
      </c>
      <c r="E48" s="115" t="s">
        <v>26</v>
      </c>
      <c r="F48" s="114"/>
    </row>
    <row r="49" spans="1:9" ht="34.9" customHeight="1" x14ac:dyDescent="0.25">
      <c r="A49" s="50" t="s">
        <v>520</v>
      </c>
      <c r="B49" s="50"/>
      <c r="C49" s="50"/>
      <c r="D49" s="50"/>
      <c r="E49" s="122"/>
      <c r="F49" s="122"/>
    </row>
    <row r="50" spans="1:9" ht="15" x14ac:dyDescent="0.25">
      <c r="A50" s="861" t="s">
        <v>521</v>
      </c>
      <c r="B50" s="861"/>
      <c r="C50" s="861"/>
      <c r="D50" s="861"/>
      <c r="E50" s="122"/>
      <c r="F50" s="122"/>
    </row>
    <row r="51" spans="1:9" ht="15" x14ac:dyDescent="0.25">
      <c r="A51" s="124"/>
      <c r="B51" s="121"/>
      <c r="C51" s="124"/>
      <c r="D51" s="124"/>
      <c r="E51" s="122"/>
      <c r="F51" s="122"/>
    </row>
    <row r="52" spans="1:9" ht="15" x14ac:dyDescent="0.25">
      <c r="A52" s="50" t="s">
        <v>197</v>
      </c>
      <c r="B52" s="233" t="s">
        <v>302</v>
      </c>
      <c r="C52" s="116" t="s">
        <v>513</v>
      </c>
      <c r="D52" s="117" t="s">
        <v>514</v>
      </c>
      <c r="E52" s="122"/>
      <c r="F52" s="122"/>
    </row>
    <row r="53" spans="1:9" ht="15" x14ac:dyDescent="0.25">
      <c r="A53" s="50" t="s">
        <v>303</v>
      </c>
      <c r="B53" s="50"/>
      <c r="C53" s="118"/>
      <c r="D53" s="50"/>
      <c r="E53" s="122"/>
      <c r="F53" s="122"/>
    </row>
    <row r="54" spans="1:9" x14ac:dyDescent="0.2">
      <c r="A54" s="861" t="s">
        <v>22</v>
      </c>
      <c r="B54" s="861"/>
      <c r="C54" s="861"/>
      <c r="D54" s="861"/>
      <c r="E54" s="122"/>
      <c r="F54" s="122"/>
    </row>
    <row r="55" spans="1:9" ht="15" x14ac:dyDescent="0.25">
      <c r="A55" s="777" t="s">
        <v>515</v>
      </c>
      <c r="B55" s="777"/>
      <c r="C55" s="124"/>
      <c r="D55" s="124"/>
      <c r="E55" s="122"/>
      <c r="F55" s="122"/>
    </row>
    <row r="56" spans="1:9" x14ac:dyDescent="0.2">
      <c r="A56" s="2" t="s">
        <v>469</v>
      </c>
    </row>
    <row r="57" spans="1:9" ht="6" customHeight="1" x14ac:dyDescent="0.2"/>
    <row r="58" spans="1:9" ht="5.25" customHeight="1" x14ac:dyDescent="0.2"/>
    <row r="59" spans="1:9" ht="30.75" customHeight="1" x14ac:dyDescent="0.2">
      <c r="E59" s="736" t="s">
        <v>44</v>
      </c>
      <c r="F59" s="873"/>
      <c r="G59" s="873"/>
    </row>
    <row r="60" spans="1:9" ht="13.9" customHeight="1" x14ac:dyDescent="0.2">
      <c r="A60" s="663" t="s">
        <v>19</v>
      </c>
      <c r="B60" s="663" t="s">
        <v>20</v>
      </c>
      <c r="C60" s="679" t="s">
        <v>221</v>
      </c>
      <c r="D60" s="679" t="s">
        <v>186</v>
      </c>
      <c r="E60" s="679" t="s">
        <v>667</v>
      </c>
      <c r="F60" s="679" t="s">
        <v>172</v>
      </c>
      <c r="G60" s="679" t="s">
        <v>185</v>
      </c>
      <c r="H60" s="679" t="s">
        <v>517</v>
      </c>
      <c r="I60" s="679" t="s">
        <v>518</v>
      </c>
    </row>
    <row r="61" spans="1:9" ht="99.6" customHeight="1" x14ac:dyDescent="0.2">
      <c r="A61" s="663"/>
      <c r="B61" s="663"/>
      <c r="C61" s="679"/>
      <c r="D61" s="679"/>
      <c r="E61" s="679"/>
      <c r="F61" s="679"/>
      <c r="G61" s="679"/>
      <c r="H61" s="679"/>
      <c r="I61" s="679"/>
    </row>
    <row r="62" spans="1:9" ht="27.75" customHeight="1" x14ac:dyDescent="0.25">
      <c r="A62" s="126">
        <v>1</v>
      </c>
      <c r="B62" s="126">
        <v>2</v>
      </c>
      <c r="C62" s="127">
        <v>3</v>
      </c>
      <c r="D62" s="127">
        <v>4</v>
      </c>
      <c r="E62" s="224">
        <v>5</v>
      </c>
      <c r="F62" s="224">
        <v>6</v>
      </c>
      <c r="G62" s="224">
        <v>7</v>
      </c>
      <c r="H62" s="224">
        <v>8</v>
      </c>
      <c r="I62" s="128">
        <v>9</v>
      </c>
    </row>
    <row r="63" spans="1:9" ht="33.75" customHeight="1" x14ac:dyDescent="0.2">
      <c r="A63" s="221">
        <v>557</v>
      </c>
      <c r="B63" s="221" t="s">
        <v>268</v>
      </c>
      <c r="C63" s="414">
        <f t="shared" ref="C63:D92" si="2">C17</f>
        <v>15</v>
      </c>
      <c r="D63" s="414">
        <f t="shared" si="2"/>
        <v>6884.7</v>
      </c>
      <c r="E63" s="970">
        <f>(D63-C63)/C63*100</f>
        <v>45797.999999999993</v>
      </c>
      <c r="F63" s="223" t="s">
        <v>215</v>
      </c>
      <c r="G63" s="145">
        <v>0</v>
      </c>
      <c r="H63" s="414">
        <f t="shared" ref="H63:H92" si="3">E17</f>
        <v>0</v>
      </c>
      <c r="I63" s="46">
        <v>1</v>
      </c>
    </row>
    <row r="64" spans="1:9" ht="47.25" customHeight="1" x14ac:dyDescent="0.2">
      <c r="A64" s="221">
        <v>559</v>
      </c>
      <c r="B64" s="231" t="s">
        <v>292</v>
      </c>
      <c r="C64" s="414">
        <f t="shared" si="2"/>
        <v>8489.2000000000007</v>
      </c>
      <c r="D64" s="414">
        <f t="shared" si="2"/>
        <v>31605.3</v>
      </c>
      <c r="E64" s="970">
        <f>(D64-C64)/C64*100</f>
        <v>272.30009894925314</v>
      </c>
      <c r="F64" s="223" t="s">
        <v>215</v>
      </c>
      <c r="G64" s="145">
        <v>0</v>
      </c>
      <c r="H64" s="414">
        <f t="shared" si="3"/>
        <v>0</v>
      </c>
      <c r="I64" s="46">
        <v>1</v>
      </c>
    </row>
    <row r="65" spans="1:9" ht="22.5" customHeight="1" x14ac:dyDescent="0.2">
      <c r="A65" s="221">
        <v>560</v>
      </c>
      <c r="B65" s="230" t="s">
        <v>291</v>
      </c>
      <c r="C65" s="414">
        <f t="shared" si="2"/>
        <v>1415.4</v>
      </c>
      <c r="D65" s="414">
        <f t="shared" si="2"/>
        <v>6.7</v>
      </c>
      <c r="E65" s="970">
        <f>(C65-D65)/C65*100</f>
        <v>99.526635580048037</v>
      </c>
      <c r="F65" s="223" t="s">
        <v>215</v>
      </c>
      <c r="G65" s="145">
        <v>0</v>
      </c>
      <c r="H65" s="414">
        <f t="shared" si="3"/>
        <v>6.7</v>
      </c>
      <c r="I65" s="46">
        <v>0</v>
      </c>
    </row>
    <row r="66" spans="1:9" ht="30" x14ac:dyDescent="0.2">
      <c r="A66" s="221">
        <v>601</v>
      </c>
      <c r="B66" s="221" t="s">
        <v>271</v>
      </c>
      <c r="C66" s="414">
        <f t="shared" si="2"/>
        <v>0</v>
      </c>
      <c r="D66" s="414">
        <f t="shared" si="2"/>
        <v>1411.1</v>
      </c>
      <c r="E66" s="970" t="e">
        <f t="shared" ref="E66:E72" si="4">(D66-C66)/C66*100</f>
        <v>#DIV/0!</v>
      </c>
      <c r="F66" s="223" t="s">
        <v>214</v>
      </c>
      <c r="G66" s="145">
        <v>0</v>
      </c>
      <c r="H66" s="414">
        <f t="shared" si="3"/>
        <v>0</v>
      </c>
      <c r="I66" s="46">
        <v>1</v>
      </c>
    </row>
    <row r="67" spans="1:9" ht="30" x14ac:dyDescent="0.2">
      <c r="A67" s="221">
        <v>602</v>
      </c>
      <c r="B67" s="231" t="s">
        <v>320</v>
      </c>
      <c r="C67" s="414" t="str">
        <f t="shared" si="2"/>
        <v>*&gt;</v>
      </c>
      <c r="D67" s="414" t="str">
        <f t="shared" si="2"/>
        <v>*&gt;</v>
      </c>
      <c r="E67" s="970" t="e">
        <f t="shared" si="4"/>
        <v>#VALUE!</v>
      </c>
      <c r="F67" s="967" t="s">
        <v>468</v>
      </c>
      <c r="G67" s="967" t="s">
        <v>468</v>
      </c>
      <c r="H67" s="971">
        <f t="shared" si="3"/>
        <v>0</v>
      </c>
      <c r="I67" s="46">
        <v>1</v>
      </c>
    </row>
    <row r="68" spans="1:9" ht="31.9" customHeight="1" x14ac:dyDescent="0.2">
      <c r="A68" s="221">
        <v>603</v>
      </c>
      <c r="B68" s="229" t="s">
        <v>293</v>
      </c>
      <c r="C68" s="414">
        <f t="shared" si="2"/>
        <v>700</v>
      </c>
      <c r="D68" s="414">
        <f t="shared" si="2"/>
        <v>797.3</v>
      </c>
      <c r="E68" s="970">
        <f t="shared" si="4"/>
        <v>13.899999999999993</v>
      </c>
      <c r="F68" s="972" t="s">
        <v>262</v>
      </c>
      <c r="G68" s="312">
        <v>1</v>
      </c>
      <c r="H68" s="414">
        <f t="shared" si="3"/>
        <v>0</v>
      </c>
      <c r="I68" s="46">
        <v>1</v>
      </c>
    </row>
    <row r="69" spans="1:9" ht="15" x14ac:dyDescent="0.2">
      <c r="A69" s="221">
        <v>604</v>
      </c>
      <c r="B69" s="221" t="s">
        <v>294</v>
      </c>
      <c r="C69" s="414">
        <f t="shared" si="2"/>
        <v>0</v>
      </c>
      <c r="D69" s="414">
        <f t="shared" si="2"/>
        <v>1.1000000000000001</v>
      </c>
      <c r="E69" s="970" t="e">
        <f t="shared" si="4"/>
        <v>#DIV/0!</v>
      </c>
      <c r="F69" s="223" t="s">
        <v>214</v>
      </c>
      <c r="G69" s="145">
        <v>0</v>
      </c>
      <c r="H69" s="414">
        <f t="shared" si="3"/>
        <v>0</v>
      </c>
      <c r="I69" s="46">
        <v>1</v>
      </c>
    </row>
    <row r="70" spans="1:9" ht="15" x14ac:dyDescent="0.2">
      <c r="A70" s="221">
        <v>605</v>
      </c>
      <c r="B70" s="229" t="s">
        <v>295</v>
      </c>
      <c r="C70" s="414">
        <f t="shared" si="2"/>
        <v>52</v>
      </c>
      <c r="D70" s="414">
        <f t="shared" si="2"/>
        <v>105.4</v>
      </c>
      <c r="E70" s="970">
        <f t="shared" si="4"/>
        <v>102.69230769230771</v>
      </c>
      <c r="F70" s="223" t="s">
        <v>215</v>
      </c>
      <c r="G70" s="145">
        <v>0</v>
      </c>
      <c r="H70" s="414">
        <f t="shared" si="3"/>
        <v>0</v>
      </c>
      <c r="I70" s="46">
        <v>1</v>
      </c>
    </row>
    <row r="71" spans="1:9" ht="22.5" customHeight="1" x14ac:dyDescent="0.2">
      <c r="A71" s="221">
        <v>606</v>
      </c>
      <c r="B71" s="232" t="s">
        <v>290</v>
      </c>
      <c r="C71" s="414">
        <f t="shared" si="2"/>
        <v>2862</v>
      </c>
      <c r="D71" s="414">
        <f t="shared" si="2"/>
        <v>14845.1</v>
      </c>
      <c r="E71" s="970">
        <f t="shared" si="4"/>
        <v>418.69671558350802</v>
      </c>
      <c r="F71" s="223" t="s">
        <v>215</v>
      </c>
      <c r="G71" s="145">
        <v>0</v>
      </c>
      <c r="H71" s="414">
        <f t="shared" si="3"/>
        <v>4.5</v>
      </c>
      <c r="I71" s="46">
        <v>0</v>
      </c>
    </row>
    <row r="72" spans="1:9" ht="22.5" customHeight="1" x14ac:dyDescent="0.2">
      <c r="A72" s="221">
        <v>608</v>
      </c>
      <c r="B72" s="221" t="s">
        <v>296</v>
      </c>
      <c r="C72" s="414">
        <f t="shared" si="2"/>
        <v>800</v>
      </c>
      <c r="D72" s="414">
        <f t="shared" si="2"/>
        <v>1246.3</v>
      </c>
      <c r="E72" s="970">
        <f t="shared" si="4"/>
        <v>55.787499999999987</v>
      </c>
      <c r="F72" s="223" t="s">
        <v>215</v>
      </c>
      <c r="G72" s="145">
        <v>0</v>
      </c>
      <c r="H72" s="414">
        <f t="shared" si="3"/>
        <v>0</v>
      </c>
      <c r="I72" s="46">
        <v>1</v>
      </c>
    </row>
    <row r="73" spans="1:9" ht="30" x14ac:dyDescent="0.2">
      <c r="A73" s="221">
        <v>685</v>
      </c>
      <c r="B73" s="221" t="s">
        <v>282</v>
      </c>
      <c r="C73" s="414">
        <f t="shared" si="2"/>
        <v>0</v>
      </c>
      <c r="D73" s="414">
        <f t="shared" si="2"/>
        <v>0</v>
      </c>
      <c r="E73" s="970" t="e">
        <f t="shared" ref="E73:E78" si="5">(C73-D73)/C73*100</f>
        <v>#DIV/0!</v>
      </c>
      <c r="F73" s="972" t="s">
        <v>262</v>
      </c>
      <c r="G73" s="312">
        <v>1</v>
      </c>
      <c r="H73" s="971">
        <f t="shared" si="3"/>
        <v>0</v>
      </c>
      <c r="I73" s="46">
        <v>1</v>
      </c>
    </row>
    <row r="74" spans="1:9" ht="15" x14ac:dyDescent="0.2">
      <c r="A74" s="221">
        <v>686</v>
      </c>
      <c r="B74" s="229" t="s">
        <v>297</v>
      </c>
      <c r="C74" s="969">
        <f t="shared" si="2"/>
        <v>0</v>
      </c>
      <c r="D74" s="414">
        <f t="shared" si="2"/>
        <v>13026.7</v>
      </c>
      <c r="E74" s="970" t="e">
        <f>(D74-C74)/C74*100</f>
        <v>#DIV/0!</v>
      </c>
      <c r="F74" s="223" t="s">
        <v>214</v>
      </c>
      <c r="G74" s="145">
        <v>0</v>
      </c>
      <c r="H74" s="414">
        <f t="shared" si="3"/>
        <v>0</v>
      </c>
      <c r="I74" s="46">
        <v>1</v>
      </c>
    </row>
    <row r="75" spans="1:9" ht="15.75" x14ac:dyDescent="0.2">
      <c r="A75" s="221">
        <v>688</v>
      </c>
      <c r="B75" s="221" t="s">
        <v>283</v>
      </c>
      <c r="C75" s="414">
        <f t="shared" si="2"/>
        <v>0</v>
      </c>
      <c r="D75" s="414">
        <f t="shared" si="2"/>
        <v>0</v>
      </c>
      <c r="E75" s="970" t="e">
        <f t="shared" si="5"/>
        <v>#DIV/0!</v>
      </c>
      <c r="F75" s="972" t="s">
        <v>262</v>
      </c>
      <c r="G75" s="312">
        <v>1</v>
      </c>
      <c r="H75" s="971">
        <f t="shared" si="3"/>
        <v>0</v>
      </c>
      <c r="I75" s="46">
        <v>1</v>
      </c>
    </row>
    <row r="76" spans="1:9" ht="15.75" x14ac:dyDescent="0.2">
      <c r="A76" s="221">
        <v>691</v>
      </c>
      <c r="B76" s="221" t="s">
        <v>298</v>
      </c>
      <c r="C76" s="440">
        <f t="shared" si="2"/>
        <v>20661</v>
      </c>
      <c r="D76" s="440">
        <f t="shared" si="2"/>
        <v>19768</v>
      </c>
      <c r="E76" s="193">
        <f>((C76-D76)/C76)*100</f>
        <v>4.3221528483616476</v>
      </c>
      <c r="F76" s="972" t="s">
        <v>262</v>
      </c>
      <c r="G76" s="312">
        <v>1</v>
      </c>
      <c r="H76" s="414">
        <f t="shared" si="3"/>
        <v>0</v>
      </c>
      <c r="I76" s="46">
        <v>1</v>
      </c>
    </row>
    <row r="77" spans="1:9" ht="30" x14ac:dyDescent="0.2">
      <c r="A77" s="221">
        <v>692</v>
      </c>
      <c r="B77" s="221" t="s">
        <v>281</v>
      </c>
      <c r="C77" s="414">
        <f t="shared" si="2"/>
        <v>0</v>
      </c>
      <c r="D77" s="414">
        <f t="shared" si="2"/>
        <v>0</v>
      </c>
      <c r="E77" s="970" t="e">
        <f t="shared" si="5"/>
        <v>#DIV/0!</v>
      </c>
      <c r="F77" s="972" t="s">
        <v>262</v>
      </c>
      <c r="G77" s="312">
        <v>1</v>
      </c>
      <c r="H77" s="971">
        <f t="shared" si="3"/>
        <v>0</v>
      </c>
      <c r="I77" s="46">
        <v>1</v>
      </c>
    </row>
    <row r="78" spans="1:9" ht="30" x14ac:dyDescent="0.2">
      <c r="A78" s="221">
        <v>696</v>
      </c>
      <c r="B78" s="230" t="s">
        <v>299</v>
      </c>
      <c r="C78" s="414">
        <f t="shared" si="2"/>
        <v>0</v>
      </c>
      <c r="D78" s="414">
        <f t="shared" si="2"/>
        <v>0</v>
      </c>
      <c r="E78" s="970" t="e">
        <f t="shared" si="5"/>
        <v>#DIV/0!</v>
      </c>
      <c r="F78" s="972" t="s">
        <v>262</v>
      </c>
      <c r="G78" s="312">
        <v>1</v>
      </c>
      <c r="H78" s="971">
        <f t="shared" si="3"/>
        <v>0</v>
      </c>
      <c r="I78" s="46">
        <v>1</v>
      </c>
    </row>
    <row r="79" spans="1:9" ht="30" x14ac:dyDescent="0.2">
      <c r="A79" s="221">
        <v>697</v>
      </c>
      <c r="B79" s="221" t="s">
        <v>269</v>
      </c>
      <c r="C79" s="414">
        <f t="shared" si="2"/>
        <v>3163</v>
      </c>
      <c r="D79" s="414">
        <f t="shared" si="2"/>
        <v>4199.1000000000004</v>
      </c>
      <c r="E79" s="970">
        <f>(D79-C79)/C79*100</f>
        <v>32.75687638318054</v>
      </c>
      <c r="F79" s="223" t="s">
        <v>215</v>
      </c>
      <c r="G79" s="145">
        <v>0</v>
      </c>
      <c r="H79" s="414">
        <f t="shared" si="3"/>
        <v>0</v>
      </c>
      <c r="I79" s="46">
        <v>1</v>
      </c>
    </row>
    <row r="80" spans="1:9" ht="30" x14ac:dyDescent="0.2">
      <c r="A80" s="221">
        <v>698</v>
      </c>
      <c r="B80" s="221" t="s">
        <v>286</v>
      </c>
      <c r="C80" s="414">
        <f t="shared" si="2"/>
        <v>0</v>
      </c>
      <c r="D80" s="414">
        <f t="shared" si="2"/>
        <v>0</v>
      </c>
      <c r="E80" s="970" t="e">
        <f>(C80-D80)/C80*100</f>
        <v>#DIV/0!</v>
      </c>
      <c r="F80" s="972" t="s">
        <v>262</v>
      </c>
      <c r="G80" s="312">
        <v>1</v>
      </c>
      <c r="H80" s="414">
        <f t="shared" si="3"/>
        <v>0</v>
      </c>
      <c r="I80" s="46">
        <v>1</v>
      </c>
    </row>
    <row r="81" spans="1:182" ht="20.25" customHeight="1" x14ac:dyDescent="0.2">
      <c r="A81" s="221">
        <v>699</v>
      </c>
      <c r="B81" s="230" t="s">
        <v>300</v>
      </c>
      <c r="C81" s="414">
        <f t="shared" si="2"/>
        <v>60</v>
      </c>
      <c r="D81" s="414">
        <f t="shared" si="2"/>
        <v>1674.8</v>
      </c>
      <c r="E81" s="970">
        <f>(D81-C81)/C81*100</f>
        <v>2691.3333333333335</v>
      </c>
      <c r="F81" s="223" t="s">
        <v>215</v>
      </c>
      <c r="G81" s="145">
        <v>0</v>
      </c>
      <c r="H81" s="414">
        <f t="shared" si="3"/>
        <v>0</v>
      </c>
      <c r="I81" s="46">
        <v>1</v>
      </c>
    </row>
    <row r="82" spans="1:182" ht="30" x14ac:dyDescent="0.2">
      <c r="A82" s="221">
        <v>700</v>
      </c>
      <c r="B82" s="221" t="s">
        <v>270</v>
      </c>
      <c r="C82" s="414">
        <f t="shared" si="2"/>
        <v>0</v>
      </c>
      <c r="D82" s="414">
        <f t="shared" si="2"/>
        <v>640.79999999999995</v>
      </c>
      <c r="E82" s="970" t="e">
        <f>(D82-C82)/C82*100</f>
        <v>#DIV/0!</v>
      </c>
      <c r="F82" s="223" t="s">
        <v>214</v>
      </c>
      <c r="G82" s="145">
        <v>0</v>
      </c>
      <c r="H82" s="414">
        <f t="shared" si="3"/>
        <v>41.3</v>
      </c>
      <c r="I82" s="46">
        <v>0</v>
      </c>
    </row>
    <row r="83" spans="1:182" ht="30" x14ac:dyDescent="0.2">
      <c r="A83" s="221">
        <v>701</v>
      </c>
      <c r="B83" s="221" t="s">
        <v>274</v>
      </c>
      <c r="C83" s="414" t="str">
        <f t="shared" si="2"/>
        <v>*&gt;</v>
      </c>
      <c r="D83" s="414" t="str">
        <f t="shared" si="2"/>
        <v>*&gt;</v>
      </c>
      <c r="E83" s="970" t="e">
        <f>(C83-D83)/C83*100</f>
        <v>#VALUE!</v>
      </c>
      <c r="F83" s="967" t="s">
        <v>468</v>
      </c>
      <c r="G83" s="967" t="s">
        <v>468</v>
      </c>
      <c r="H83" s="971">
        <f t="shared" si="3"/>
        <v>0</v>
      </c>
      <c r="I83" s="46">
        <v>1</v>
      </c>
    </row>
    <row r="84" spans="1:182" ht="18" customHeight="1" x14ac:dyDescent="0.2">
      <c r="A84" s="221">
        <v>702</v>
      </c>
      <c r="B84" s="230" t="s">
        <v>301</v>
      </c>
      <c r="C84" s="414">
        <f t="shared" si="2"/>
        <v>2081.9</v>
      </c>
      <c r="D84" s="414">
        <f t="shared" si="2"/>
        <v>4744</v>
      </c>
      <c r="E84" s="970">
        <f>(D84-C84)/C84*100</f>
        <v>127.86877371631682</v>
      </c>
      <c r="F84" s="223" t="s">
        <v>215</v>
      </c>
      <c r="G84" s="145">
        <v>0</v>
      </c>
      <c r="H84" s="414">
        <f t="shared" si="3"/>
        <v>6.5</v>
      </c>
      <c r="I84" s="46">
        <v>0</v>
      </c>
    </row>
    <row r="85" spans="1:182" ht="15.75" x14ac:dyDescent="0.2">
      <c r="A85" s="221">
        <v>705</v>
      </c>
      <c r="B85" s="221" t="s">
        <v>275</v>
      </c>
      <c r="C85" s="414">
        <f t="shared" si="2"/>
        <v>0</v>
      </c>
      <c r="D85" s="414">
        <f t="shared" si="2"/>
        <v>0</v>
      </c>
      <c r="E85" s="970" t="e">
        <f t="shared" ref="E85:E90" si="6">(C85-D85)/C85*100</f>
        <v>#DIV/0!</v>
      </c>
      <c r="F85" s="972" t="s">
        <v>262</v>
      </c>
      <c r="G85" s="312">
        <v>1</v>
      </c>
      <c r="H85" s="971">
        <f t="shared" si="3"/>
        <v>0</v>
      </c>
      <c r="I85" s="46">
        <v>1</v>
      </c>
    </row>
    <row r="86" spans="1:182" ht="45" x14ac:dyDescent="0.2">
      <c r="A86" s="221">
        <v>820</v>
      </c>
      <c r="B86" s="221" t="s">
        <v>276</v>
      </c>
      <c r="C86" s="414">
        <f t="shared" si="2"/>
        <v>0</v>
      </c>
      <c r="D86" s="414">
        <f t="shared" si="2"/>
        <v>0</v>
      </c>
      <c r="E86" s="970" t="e">
        <f t="shared" si="6"/>
        <v>#DIV/0!</v>
      </c>
      <c r="F86" s="972" t="s">
        <v>262</v>
      </c>
      <c r="G86" s="312">
        <v>1</v>
      </c>
      <c r="H86" s="971">
        <f t="shared" si="3"/>
        <v>0</v>
      </c>
      <c r="I86" s="46">
        <v>1</v>
      </c>
    </row>
    <row r="87" spans="1:182" ht="45" x14ac:dyDescent="0.2">
      <c r="A87" s="221">
        <v>830</v>
      </c>
      <c r="B87" s="221" t="s">
        <v>277</v>
      </c>
      <c r="C87" s="414">
        <f t="shared" si="2"/>
        <v>0</v>
      </c>
      <c r="D87" s="414">
        <f t="shared" si="2"/>
        <v>0</v>
      </c>
      <c r="E87" s="970" t="e">
        <f t="shared" si="6"/>
        <v>#DIV/0!</v>
      </c>
      <c r="F87" s="972" t="s">
        <v>262</v>
      </c>
      <c r="G87" s="312">
        <v>1</v>
      </c>
      <c r="H87" s="971">
        <f t="shared" si="3"/>
        <v>0</v>
      </c>
      <c r="I87" s="46">
        <v>1</v>
      </c>
    </row>
    <row r="88" spans="1:182" ht="30" x14ac:dyDescent="0.2">
      <c r="A88" s="221">
        <v>840</v>
      </c>
      <c r="B88" s="221" t="s">
        <v>278</v>
      </c>
      <c r="C88" s="414">
        <f t="shared" si="2"/>
        <v>0</v>
      </c>
      <c r="D88" s="414">
        <f t="shared" si="2"/>
        <v>9</v>
      </c>
      <c r="E88" s="970" t="e">
        <f>(D88-C88)/C88*100</f>
        <v>#DIV/0!</v>
      </c>
      <c r="F88" s="223" t="s">
        <v>214</v>
      </c>
      <c r="G88" s="145">
        <v>0</v>
      </c>
      <c r="H88" s="971">
        <f t="shared" si="3"/>
        <v>0</v>
      </c>
      <c r="I88" s="46">
        <v>1</v>
      </c>
    </row>
    <row r="89" spans="1:182" ht="45" x14ac:dyDescent="0.2">
      <c r="A89" s="221">
        <v>850</v>
      </c>
      <c r="B89" s="221" t="s">
        <v>279</v>
      </c>
      <c r="C89" s="414">
        <f t="shared" si="2"/>
        <v>0</v>
      </c>
      <c r="D89" s="414">
        <f t="shared" si="2"/>
        <v>0</v>
      </c>
      <c r="E89" s="970" t="e">
        <f t="shared" si="6"/>
        <v>#DIV/0!</v>
      </c>
      <c r="F89" s="972" t="s">
        <v>262</v>
      </c>
      <c r="G89" s="312">
        <v>1</v>
      </c>
      <c r="H89" s="971">
        <f t="shared" si="3"/>
        <v>0</v>
      </c>
      <c r="I89" s="46">
        <v>1</v>
      </c>
    </row>
    <row r="90" spans="1:182" ht="45" x14ac:dyDescent="0.2">
      <c r="A90" s="221">
        <v>860</v>
      </c>
      <c r="B90" s="221" t="s">
        <v>280</v>
      </c>
      <c r="C90" s="414">
        <f t="shared" si="2"/>
        <v>0</v>
      </c>
      <c r="D90" s="414">
        <f t="shared" si="2"/>
        <v>0</v>
      </c>
      <c r="E90" s="970" t="e">
        <f t="shared" si="6"/>
        <v>#DIV/0!</v>
      </c>
      <c r="F90" s="972" t="s">
        <v>262</v>
      </c>
      <c r="G90" s="312">
        <v>1</v>
      </c>
      <c r="H90" s="971">
        <f t="shared" si="3"/>
        <v>0</v>
      </c>
      <c r="I90" s="46">
        <v>1</v>
      </c>
    </row>
    <row r="91" spans="1:182" ht="45" x14ac:dyDescent="0.2">
      <c r="A91" s="221">
        <v>870</v>
      </c>
      <c r="B91" s="221" t="s">
        <v>272</v>
      </c>
      <c r="C91" s="414">
        <f t="shared" si="2"/>
        <v>0</v>
      </c>
      <c r="D91" s="414">
        <f t="shared" si="2"/>
        <v>6.7</v>
      </c>
      <c r="E91" s="970" t="e">
        <f>(D91-C91)/C91*100</f>
        <v>#DIV/0!</v>
      </c>
      <c r="F91" s="223" t="s">
        <v>214</v>
      </c>
      <c r="G91" s="145">
        <v>0</v>
      </c>
      <c r="H91" s="414">
        <f t="shared" si="3"/>
        <v>6.7</v>
      </c>
      <c r="I91" s="46">
        <v>0</v>
      </c>
    </row>
    <row r="92" spans="1:182" ht="45.75" thickBot="1" x14ac:dyDescent="0.25">
      <c r="A92" s="221">
        <v>880</v>
      </c>
      <c r="B92" s="221" t="s">
        <v>273</v>
      </c>
      <c r="C92" s="414">
        <f t="shared" si="2"/>
        <v>16.600000000000001</v>
      </c>
      <c r="D92" s="414">
        <f t="shared" si="2"/>
        <v>0.7</v>
      </c>
      <c r="E92" s="970">
        <f>(C92-D92)/C92*100</f>
        <v>95.783132530120483</v>
      </c>
      <c r="F92" s="223" t="s">
        <v>215</v>
      </c>
      <c r="G92" s="145">
        <v>0</v>
      </c>
      <c r="H92" s="414">
        <f t="shared" si="3"/>
        <v>0</v>
      </c>
      <c r="I92" s="46">
        <v>1</v>
      </c>
    </row>
    <row r="93" spans="1:182" s="222" customFormat="1" ht="13.5" thickBot="1" x14ac:dyDescent="0.25">
      <c r="A93" s="9"/>
      <c r="B93" s="228"/>
      <c r="C93" s="572"/>
      <c r="D93" s="572"/>
      <c r="E93" s="572"/>
      <c r="F93" s="572"/>
      <c r="G93" s="572"/>
      <c r="H93" s="572"/>
      <c r="I93" s="9"/>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c r="BJ93" s="75"/>
      <c r="BK93" s="75"/>
      <c r="BL93" s="75"/>
      <c r="BM93" s="75"/>
      <c r="BN93" s="75"/>
      <c r="BO93" s="75"/>
      <c r="BP93" s="75"/>
      <c r="BQ93" s="75"/>
      <c r="BR93" s="75"/>
      <c r="BS93" s="75"/>
      <c r="BT93" s="75"/>
      <c r="BU93" s="75"/>
      <c r="BV93" s="75"/>
      <c r="BW93" s="75"/>
      <c r="BX93" s="75"/>
      <c r="BY93" s="75"/>
      <c r="BZ93" s="75"/>
      <c r="CA93" s="75"/>
      <c r="CB93" s="75"/>
      <c r="CC93" s="75"/>
      <c r="CD93" s="75"/>
      <c r="CE93" s="75"/>
      <c r="CF93" s="75"/>
      <c r="CG93" s="75"/>
      <c r="CH93" s="75"/>
      <c r="CI93" s="75"/>
      <c r="CJ93" s="75"/>
      <c r="CK93" s="75"/>
      <c r="CL93" s="75"/>
      <c r="CM93" s="75"/>
      <c r="CN93" s="75"/>
      <c r="CO93" s="75"/>
      <c r="CP93" s="75"/>
      <c r="CQ93" s="75"/>
      <c r="CR93" s="75"/>
      <c r="CS93" s="75"/>
      <c r="CT93" s="75"/>
      <c r="CU93" s="75"/>
      <c r="CV93" s="75"/>
      <c r="CW93" s="75"/>
      <c r="CX93" s="75"/>
      <c r="CY93" s="75"/>
      <c r="CZ93" s="75"/>
      <c r="DA93" s="75"/>
      <c r="DB93" s="75"/>
      <c r="DC93" s="75"/>
      <c r="DD93" s="75"/>
      <c r="DE93" s="75"/>
      <c r="DF93" s="75"/>
      <c r="DG93" s="75"/>
      <c r="DH93" s="75"/>
      <c r="DI93" s="75"/>
      <c r="DJ93" s="75"/>
      <c r="DK93" s="75"/>
      <c r="DL93" s="75"/>
      <c r="DM93" s="75"/>
      <c r="DN93" s="75"/>
      <c r="DO93" s="75"/>
      <c r="DP93" s="75"/>
      <c r="DQ93" s="75"/>
      <c r="DR93" s="75"/>
      <c r="DS93" s="75"/>
      <c r="DT93" s="75"/>
      <c r="DU93" s="75"/>
      <c r="DV93" s="75"/>
      <c r="DW93" s="75"/>
      <c r="DX93" s="75"/>
      <c r="DY93" s="75"/>
      <c r="DZ93" s="75"/>
      <c r="EA93" s="75"/>
      <c r="EB93" s="75"/>
      <c r="EC93" s="75"/>
      <c r="ED93" s="75"/>
      <c r="EE93" s="75"/>
      <c r="EF93" s="75"/>
      <c r="EG93" s="75"/>
      <c r="EH93" s="75"/>
      <c r="EI93" s="75"/>
      <c r="EJ93" s="75"/>
      <c r="EK93" s="75"/>
      <c r="EL93" s="75"/>
      <c r="EM93" s="75"/>
      <c r="EN93" s="75"/>
      <c r="EO93" s="75"/>
      <c r="EP93" s="75"/>
      <c r="EQ93" s="75"/>
      <c r="ER93" s="75"/>
      <c r="ES93" s="75"/>
      <c r="ET93" s="75"/>
      <c r="EU93" s="75"/>
      <c r="EV93" s="75"/>
      <c r="EW93" s="75"/>
      <c r="EX93" s="75"/>
      <c r="EY93" s="75"/>
      <c r="EZ93" s="75"/>
      <c r="FA93" s="75"/>
      <c r="FB93" s="75"/>
      <c r="FC93" s="75"/>
      <c r="FD93" s="75"/>
      <c r="FE93" s="75"/>
      <c r="FF93" s="75"/>
      <c r="FG93" s="75"/>
      <c r="FH93" s="75"/>
      <c r="FI93" s="75"/>
      <c r="FJ93" s="75"/>
      <c r="FK93" s="75"/>
      <c r="FL93" s="75"/>
      <c r="FM93" s="75"/>
      <c r="FN93" s="75"/>
      <c r="FO93" s="75"/>
      <c r="FP93" s="75"/>
      <c r="FQ93" s="75"/>
      <c r="FR93" s="75"/>
      <c r="FS93" s="75"/>
      <c r="FT93" s="75"/>
      <c r="FU93" s="75"/>
      <c r="FV93" s="75"/>
      <c r="FW93" s="75"/>
      <c r="FX93" s="75"/>
      <c r="FY93" s="75"/>
      <c r="FZ93" s="75"/>
    </row>
    <row r="94" spans="1:182" x14ac:dyDescent="0.2">
      <c r="B94" s="9"/>
      <c r="C94" s="9"/>
      <c r="D94" s="9"/>
      <c r="E94" s="9"/>
      <c r="F94" s="9"/>
      <c r="G94" s="9"/>
      <c r="H94" s="9"/>
      <c r="I94" s="9"/>
    </row>
    <row r="96" spans="1:182" x14ac:dyDescent="0.2">
      <c r="A96" s="2" t="s">
        <v>469</v>
      </c>
    </row>
  </sheetData>
  <customSheetViews>
    <customSheetView guid="{EB9C9A86-B58A-443D-8E32-0F9B9A284E4A}" scale="75" fitToPage="1" topLeftCell="A16">
      <selection activeCell="A15" sqref="A15:B15"/>
      <pageMargins left="0.75" right="0.75" top="1" bottom="1" header="0.5" footer="0.5"/>
      <pageSetup paperSize="9" scale="61" fitToHeight="0" orientation="portrait" r:id="rId1"/>
      <headerFooter alignWithMargins="0"/>
    </customSheetView>
  </customSheetViews>
  <mergeCells count="27">
    <mergeCell ref="G14:I14"/>
    <mergeCell ref="E59:G59"/>
    <mergeCell ref="H60:H61"/>
    <mergeCell ref="I60:I61"/>
    <mergeCell ref="A50:D50"/>
    <mergeCell ref="G60:G61"/>
    <mergeCell ref="A54:D54"/>
    <mergeCell ref="A55:B55"/>
    <mergeCell ref="A60:A61"/>
    <mergeCell ref="B60:B61"/>
    <mergeCell ref="C60:C61"/>
    <mergeCell ref="D60:D61"/>
    <mergeCell ref="E60:E61"/>
    <mergeCell ref="F60:F61"/>
    <mergeCell ref="D2:F2"/>
    <mergeCell ref="A47:C47"/>
    <mergeCell ref="A48:C48"/>
    <mergeCell ref="A7:D7"/>
    <mergeCell ref="B14:B15"/>
    <mergeCell ref="A10:D10"/>
    <mergeCell ref="A13:B13"/>
    <mergeCell ref="A14:A15"/>
    <mergeCell ref="C14:C15"/>
    <mergeCell ref="D14:D15"/>
    <mergeCell ref="A8:E8"/>
    <mergeCell ref="F14:F15"/>
    <mergeCell ref="E14:E15"/>
  </mergeCells>
  <phoneticPr fontId="4" type="noConversion"/>
  <printOptions horizontalCentered="1"/>
  <pageMargins left="0.59055118110236227" right="3.937007874015748E-2" top="0.19685039370078741" bottom="0.19685039370078741" header="0" footer="0"/>
  <pageSetup paperSize="9" scale="28"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4"/>
  <sheetViews>
    <sheetView topLeftCell="A37" zoomScale="70" zoomScaleNormal="70" workbookViewId="0">
      <selection activeCell="E15" sqref="E15"/>
    </sheetView>
  </sheetViews>
  <sheetFormatPr defaultColWidth="9.140625" defaultRowHeight="12.75" x14ac:dyDescent="0.2"/>
  <cols>
    <col min="1" max="1" width="6.85546875" style="2" customWidth="1"/>
    <col min="2" max="2" width="36" style="2" customWidth="1"/>
    <col min="3" max="3" width="8.140625" style="2" customWidth="1"/>
    <col min="4" max="4" width="10" style="2" customWidth="1"/>
    <col min="5" max="5" width="11" style="2" customWidth="1"/>
    <col min="6" max="6" width="14.28515625" style="2" customWidth="1"/>
    <col min="7" max="7" width="15.28515625" style="2" customWidth="1"/>
    <col min="8" max="8" width="18.28515625" style="2" customWidth="1"/>
    <col min="9" max="10" width="15.28515625" style="2" customWidth="1"/>
    <col min="11" max="11" width="17.42578125" style="2" customWidth="1"/>
    <col min="12" max="12" width="15.85546875" style="2" customWidth="1"/>
    <col min="13" max="14" width="14.28515625" style="2" customWidth="1"/>
    <col min="15" max="15" width="6.5703125" style="2" customWidth="1"/>
    <col min="16" max="35" width="15.5703125" style="2" customWidth="1"/>
    <col min="36" max="36" width="15.85546875" style="2" customWidth="1"/>
    <col min="37" max="37" width="15.85546875" style="2" bestFit="1" customWidth="1"/>
    <col min="38" max="38" width="12" style="2" customWidth="1"/>
    <col min="39" max="16384" width="9.140625" style="2"/>
  </cols>
  <sheetData>
    <row r="1" spans="1:36" ht="54" customHeight="1" x14ac:dyDescent="0.2">
      <c r="C1" s="55"/>
      <c r="D1" s="55"/>
      <c r="G1" s="56"/>
      <c r="H1" s="56"/>
      <c r="I1" s="405"/>
      <c r="J1" s="405"/>
      <c r="K1" s="407"/>
      <c r="L1" s="407"/>
      <c r="M1" s="407"/>
      <c r="N1" s="407"/>
      <c r="O1" s="407"/>
      <c r="P1" s="407"/>
      <c r="Q1" s="407"/>
      <c r="R1" s="407"/>
      <c r="S1" s="407"/>
      <c r="T1" s="407"/>
      <c r="U1" s="407"/>
      <c r="V1" s="407"/>
      <c r="W1" s="407"/>
      <c r="X1" s="407"/>
      <c r="Y1" s="407"/>
      <c r="Z1" s="407"/>
      <c r="AA1" s="407"/>
      <c r="AB1" s="407"/>
      <c r="AC1" s="407"/>
      <c r="AD1" s="407"/>
      <c r="AE1" s="407"/>
      <c r="AF1" s="877" t="s">
        <v>450</v>
      </c>
      <c r="AG1" s="877"/>
      <c r="AH1" s="877"/>
      <c r="AI1" s="877"/>
      <c r="AJ1" s="877"/>
    </row>
    <row r="2" spans="1:36" ht="18.75" x14ac:dyDescent="0.3">
      <c r="A2" s="879" t="s">
        <v>63</v>
      </c>
      <c r="B2" s="880"/>
      <c r="C2" s="880"/>
      <c r="D2" s="880"/>
      <c r="E2" s="880"/>
      <c r="F2" s="880"/>
      <c r="G2" s="880"/>
      <c r="H2" s="880"/>
      <c r="I2" s="880"/>
      <c r="J2" s="880"/>
      <c r="K2" s="880"/>
      <c r="L2" s="880"/>
      <c r="M2" s="880"/>
      <c r="N2" s="880"/>
      <c r="O2" s="880"/>
      <c r="P2" s="880"/>
      <c r="Q2" s="880"/>
      <c r="R2" s="880"/>
      <c r="S2" s="880"/>
      <c r="T2" s="880"/>
      <c r="U2" s="880"/>
      <c r="V2" s="880"/>
      <c r="W2" s="880"/>
      <c r="X2" s="880"/>
      <c r="Y2" s="880"/>
      <c r="Z2" s="880"/>
      <c r="AA2" s="880"/>
      <c r="AB2" s="880"/>
      <c r="AC2" s="880"/>
      <c r="AD2" s="880"/>
      <c r="AE2" s="880"/>
      <c r="AF2" s="880"/>
      <c r="AG2" s="880"/>
      <c r="AH2" s="880"/>
      <c r="AI2" s="880"/>
      <c r="AJ2" s="880"/>
    </row>
    <row r="3" spans="1:36" ht="18.95" customHeight="1" x14ac:dyDescent="0.3">
      <c r="A3" s="881" t="s">
        <v>150</v>
      </c>
      <c r="B3" s="882"/>
      <c r="C3" s="882"/>
      <c r="D3" s="882"/>
      <c r="E3" s="882"/>
      <c r="F3" s="882"/>
      <c r="G3" s="880"/>
      <c r="H3" s="880"/>
      <c r="I3" s="880"/>
      <c r="J3" s="880"/>
      <c r="K3" s="880"/>
      <c r="L3" s="880"/>
      <c r="M3" s="880"/>
      <c r="N3" s="880"/>
      <c r="O3" s="880"/>
      <c r="P3" s="880"/>
      <c r="Q3" s="880"/>
      <c r="R3" s="880"/>
      <c r="S3" s="880"/>
      <c r="T3" s="880"/>
      <c r="U3" s="880"/>
      <c r="V3" s="880"/>
      <c r="W3" s="880"/>
      <c r="X3" s="880"/>
      <c r="Y3" s="880"/>
      <c r="Z3" s="880"/>
      <c r="AA3" s="880"/>
      <c r="AB3" s="880"/>
      <c r="AC3" s="880"/>
      <c r="AD3" s="880"/>
      <c r="AE3" s="880"/>
      <c r="AF3" s="880"/>
      <c r="AG3" s="880"/>
      <c r="AH3" s="880"/>
      <c r="AI3" s="880"/>
      <c r="AJ3" s="880"/>
    </row>
    <row r="4" spans="1:36" ht="15" customHeight="1" x14ac:dyDescent="0.25">
      <c r="A4" s="883" t="s">
        <v>451</v>
      </c>
      <c r="B4" s="883"/>
      <c r="C4" s="884"/>
      <c r="D4" s="884"/>
      <c r="E4" s="884"/>
      <c r="F4" s="884"/>
      <c r="G4" s="884"/>
      <c r="H4" s="884"/>
      <c r="I4" s="884"/>
      <c r="J4" s="884"/>
      <c r="K4" s="884"/>
      <c r="L4" s="884"/>
      <c r="M4" s="884"/>
      <c r="N4" s="884"/>
      <c r="O4" s="884"/>
      <c r="P4" s="884"/>
      <c r="Q4" s="884"/>
      <c r="R4" s="884"/>
      <c r="S4" s="884"/>
      <c r="T4" s="884"/>
      <c r="U4" s="884"/>
      <c r="V4" s="884"/>
      <c r="W4" s="884"/>
      <c r="X4" s="884"/>
      <c r="Y4" s="884"/>
      <c r="Z4" s="884"/>
      <c r="AA4" s="884"/>
      <c r="AB4" s="884"/>
      <c r="AC4" s="884"/>
      <c r="AD4" s="884"/>
      <c r="AE4" s="884"/>
      <c r="AF4" s="884"/>
      <c r="AG4" s="884"/>
      <c r="AH4" s="884"/>
      <c r="AI4" s="884"/>
      <c r="AJ4" s="884"/>
    </row>
    <row r="5" spans="1:36" x14ac:dyDescent="0.2">
      <c r="C5" s="55"/>
      <c r="D5" s="55"/>
    </row>
    <row r="6" spans="1:36" ht="37.5" customHeight="1" x14ac:dyDescent="0.2">
      <c r="A6" s="885" t="s">
        <v>64</v>
      </c>
      <c r="B6" s="885" t="s">
        <v>0</v>
      </c>
      <c r="C6" s="885" t="s">
        <v>65</v>
      </c>
      <c r="D6" s="885" t="s">
        <v>66</v>
      </c>
      <c r="E6" s="889" t="s">
        <v>67</v>
      </c>
      <c r="F6" s="890"/>
      <c r="G6" s="891"/>
      <c r="H6" s="891"/>
      <c r="I6" s="891"/>
      <c r="J6" s="891"/>
      <c r="K6" s="891"/>
      <c r="L6" s="891"/>
      <c r="M6" s="891"/>
      <c r="N6" s="891"/>
      <c r="O6" s="891"/>
      <c r="P6" s="891"/>
      <c r="Q6" s="891"/>
      <c r="R6" s="891"/>
      <c r="S6" s="891"/>
      <c r="T6" s="891"/>
      <c r="U6" s="891"/>
      <c r="V6" s="891"/>
      <c r="W6" s="891"/>
      <c r="X6" s="891"/>
      <c r="Y6" s="891"/>
      <c r="Z6" s="891"/>
      <c r="AA6" s="891"/>
      <c r="AB6" s="891"/>
      <c r="AC6" s="891"/>
      <c r="AD6" s="891"/>
      <c r="AE6" s="891"/>
      <c r="AF6" s="891"/>
      <c r="AG6" s="891"/>
      <c r="AH6" s="891"/>
      <c r="AI6" s="891"/>
      <c r="AJ6" s="892"/>
    </row>
    <row r="7" spans="1:36" ht="135" customHeight="1" x14ac:dyDescent="0.2">
      <c r="A7" s="886"/>
      <c r="B7" s="887"/>
      <c r="C7" s="888"/>
      <c r="D7" s="888"/>
      <c r="E7" s="57"/>
      <c r="F7" s="366" t="s">
        <v>268</v>
      </c>
      <c r="G7" s="366" t="s">
        <v>292</v>
      </c>
      <c r="H7" s="397" t="s">
        <v>291</v>
      </c>
      <c r="I7" s="366" t="s">
        <v>271</v>
      </c>
      <c r="J7" s="366" t="s">
        <v>320</v>
      </c>
      <c r="K7" s="365" t="s">
        <v>293</v>
      </c>
      <c r="L7" s="366" t="s">
        <v>294</v>
      </c>
      <c r="M7" s="365" t="s">
        <v>295</v>
      </c>
      <c r="N7" s="364" t="s">
        <v>290</v>
      </c>
      <c r="O7" s="58"/>
      <c r="P7" s="366" t="s">
        <v>296</v>
      </c>
      <c r="Q7" s="366" t="s">
        <v>282</v>
      </c>
      <c r="R7" s="365" t="s">
        <v>297</v>
      </c>
      <c r="S7" s="366" t="s">
        <v>283</v>
      </c>
      <c r="T7" s="366" t="s">
        <v>298</v>
      </c>
      <c r="U7" s="366" t="s">
        <v>281</v>
      </c>
      <c r="V7" s="397" t="s">
        <v>299</v>
      </c>
      <c r="W7" s="366" t="s">
        <v>269</v>
      </c>
      <c r="X7" s="366" t="s">
        <v>286</v>
      </c>
      <c r="Y7" s="397" t="s">
        <v>300</v>
      </c>
      <c r="Z7" s="366" t="s">
        <v>270</v>
      </c>
      <c r="AA7" s="366" t="s">
        <v>274</v>
      </c>
      <c r="AB7" s="397" t="s">
        <v>301</v>
      </c>
      <c r="AC7" s="366" t="s">
        <v>275</v>
      </c>
      <c r="AD7" s="366" t="s">
        <v>276</v>
      </c>
      <c r="AE7" s="366" t="s">
        <v>277</v>
      </c>
      <c r="AF7" s="366" t="s">
        <v>278</v>
      </c>
      <c r="AG7" s="366" t="s">
        <v>279</v>
      </c>
      <c r="AH7" s="366" t="s">
        <v>280</v>
      </c>
      <c r="AI7" s="366" t="s">
        <v>272</v>
      </c>
      <c r="AJ7" s="366" t="s">
        <v>273</v>
      </c>
    </row>
    <row r="8" spans="1:36" ht="15" x14ac:dyDescent="0.25">
      <c r="A8" s="59">
        <v>1</v>
      </c>
      <c r="B8" s="60">
        <v>2</v>
      </c>
      <c r="C8" s="60">
        <v>3</v>
      </c>
      <c r="D8" s="60">
        <v>4</v>
      </c>
      <c r="E8" s="61">
        <v>5</v>
      </c>
      <c r="F8" s="61">
        <v>5</v>
      </c>
      <c r="G8" s="61">
        <v>6</v>
      </c>
      <c r="H8" s="61">
        <v>7</v>
      </c>
      <c r="I8" s="61">
        <v>8</v>
      </c>
      <c r="J8" s="61"/>
      <c r="K8" s="61">
        <v>9</v>
      </c>
      <c r="L8" s="61">
        <v>10</v>
      </c>
      <c r="M8" s="61">
        <v>11</v>
      </c>
      <c r="N8" s="61">
        <v>12</v>
      </c>
      <c r="O8" s="61"/>
      <c r="P8" s="61">
        <v>13</v>
      </c>
      <c r="Q8" s="61">
        <v>14</v>
      </c>
      <c r="R8" s="61">
        <v>15</v>
      </c>
      <c r="S8" s="61">
        <v>16</v>
      </c>
      <c r="T8" s="61">
        <v>17</v>
      </c>
      <c r="U8" s="61">
        <v>18</v>
      </c>
      <c r="V8" s="61">
        <v>19</v>
      </c>
      <c r="W8" s="61">
        <v>20</v>
      </c>
      <c r="X8" s="61">
        <v>21</v>
      </c>
      <c r="Y8" s="61">
        <v>22</v>
      </c>
      <c r="Z8" s="61">
        <v>23</v>
      </c>
      <c r="AA8" s="61">
        <v>24</v>
      </c>
      <c r="AB8" s="61">
        <v>25</v>
      </c>
      <c r="AC8" s="61">
        <v>26</v>
      </c>
      <c r="AD8" s="61">
        <v>27</v>
      </c>
      <c r="AE8" s="61">
        <v>28</v>
      </c>
      <c r="AF8" s="61">
        <v>29</v>
      </c>
      <c r="AG8" s="61">
        <v>30</v>
      </c>
      <c r="AH8" s="61">
        <v>31</v>
      </c>
      <c r="AI8" s="61">
        <v>32</v>
      </c>
      <c r="AJ8" s="61">
        <v>33</v>
      </c>
    </row>
    <row r="9" spans="1:36" ht="97.15" customHeight="1" x14ac:dyDescent="0.2">
      <c r="A9" s="62" t="s">
        <v>68</v>
      </c>
      <c r="B9" s="973" t="s">
        <v>632</v>
      </c>
      <c r="C9" s="63" t="s">
        <v>6</v>
      </c>
      <c r="D9" s="63" t="s">
        <v>73</v>
      </c>
      <c r="E9" s="64"/>
      <c r="F9" s="974">
        <v>0</v>
      </c>
      <c r="G9" s="975">
        <v>0</v>
      </c>
      <c r="H9" s="975">
        <v>0</v>
      </c>
      <c r="I9" s="304">
        <v>0</v>
      </c>
      <c r="J9" s="304">
        <v>0</v>
      </c>
      <c r="K9" s="304">
        <v>0</v>
      </c>
      <c r="L9" s="304">
        <v>0</v>
      </c>
      <c r="M9" s="304">
        <v>0</v>
      </c>
      <c r="N9" s="304">
        <v>0</v>
      </c>
      <c r="O9" s="304"/>
      <c r="P9" s="304">
        <v>0</v>
      </c>
      <c r="Q9" s="975">
        <v>0</v>
      </c>
      <c r="R9" s="975">
        <v>0</v>
      </c>
      <c r="S9" s="975">
        <v>0</v>
      </c>
      <c r="T9" s="975">
        <v>0</v>
      </c>
      <c r="U9" s="975">
        <v>0</v>
      </c>
      <c r="V9" s="975">
        <v>0</v>
      </c>
      <c r="W9" s="975">
        <v>0</v>
      </c>
      <c r="X9" s="975">
        <v>0</v>
      </c>
      <c r="Y9" s="975">
        <v>0</v>
      </c>
      <c r="Z9" s="304">
        <v>0</v>
      </c>
      <c r="AA9" s="304">
        <v>0</v>
      </c>
      <c r="AB9" s="304">
        <v>0</v>
      </c>
      <c r="AC9" s="304">
        <v>0</v>
      </c>
      <c r="AD9" s="304">
        <v>0</v>
      </c>
      <c r="AE9" s="304">
        <v>0</v>
      </c>
      <c r="AF9" s="304">
        <v>0</v>
      </c>
      <c r="AG9" s="304">
        <v>0</v>
      </c>
      <c r="AH9" s="304">
        <v>0</v>
      </c>
      <c r="AI9" s="304">
        <v>0</v>
      </c>
      <c r="AJ9" s="304">
        <v>0</v>
      </c>
    </row>
    <row r="10" spans="1:36" ht="63.95" customHeight="1" x14ac:dyDescent="0.2">
      <c r="A10" s="62" t="s">
        <v>69</v>
      </c>
      <c r="B10" s="973" t="s">
        <v>633</v>
      </c>
      <c r="C10" s="63" t="s">
        <v>6</v>
      </c>
      <c r="D10" s="63" t="s">
        <v>73</v>
      </c>
      <c r="E10" s="64"/>
      <c r="F10" s="974">
        <v>30</v>
      </c>
      <c r="G10" s="975">
        <v>26</v>
      </c>
      <c r="H10" s="975">
        <v>30</v>
      </c>
      <c r="I10" s="304">
        <v>12</v>
      </c>
      <c r="J10" s="304">
        <v>12</v>
      </c>
      <c r="K10" s="304">
        <v>12</v>
      </c>
      <c r="L10" s="304">
        <v>12</v>
      </c>
      <c r="M10" s="304">
        <v>12</v>
      </c>
      <c r="N10" s="304">
        <v>15</v>
      </c>
      <c r="O10" s="304"/>
      <c r="P10" s="304">
        <v>12</v>
      </c>
      <c r="Q10" s="975">
        <v>11</v>
      </c>
      <c r="R10" s="975">
        <v>26</v>
      </c>
      <c r="S10" s="975">
        <v>14</v>
      </c>
      <c r="T10" s="975">
        <v>25</v>
      </c>
      <c r="U10" s="975">
        <v>14</v>
      </c>
      <c r="V10" s="975">
        <v>25</v>
      </c>
      <c r="W10" s="975">
        <v>25</v>
      </c>
      <c r="X10" s="975">
        <v>11</v>
      </c>
      <c r="Y10" s="975">
        <v>25</v>
      </c>
      <c r="Z10" s="304">
        <v>11</v>
      </c>
      <c r="AA10" s="304">
        <v>11</v>
      </c>
      <c r="AB10" s="304">
        <v>11</v>
      </c>
      <c r="AC10" s="304">
        <v>11</v>
      </c>
      <c r="AD10" s="304">
        <v>10</v>
      </c>
      <c r="AE10" s="304">
        <v>10</v>
      </c>
      <c r="AF10" s="304">
        <v>10</v>
      </c>
      <c r="AG10" s="304">
        <v>10</v>
      </c>
      <c r="AH10" s="304">
        <v>10</v>
      </c>
      <c r="AI10" s="304">
        <v>10</v>
      </c>
      <c r="AJ10" s="304">
        <v>10</v>
      </c>
    </row>
    <row r="11" spans="1:36" ht="164.25" customHeight="1" x14ac:dyDescent="0.2">
      <c r="A11" s="62"/>
      <c r="B11" s="475" t="s">
        <v>641</v>
      </c>
      <c r="C11" s="533"/>
      <c r="D11" s="65"/>
      <c r="E11" s="66"/>
      <c r="F11" s="305">
        <f t="shared" ref="F11:Y11" si="0">F9/F10*100</f>
        <v>0</v>
      </c>
      <c r="G11" s="305">
        <f t="shared" si="0"/>
        <v>0</v>
      </c>
      <c r="H11" s="305">
        <f t="shared" si="0"/>
        <v>0</v>
      </c>
      <c r="I11" s="305">
        <f t="shared" si="0"/>
        <v>0</v>
      </c>
      <c r="J11" s="305">
        <f t="shared" si="0"/>
        <v>0</v>
      </c>
      <c r="K11" s="305">
        <f t="shared" si="0"/>
        <v>0</v>
      </c>
      <c r="L11" s="305">
        <f t="shared" si="0"/>
        <v>0</v>
      </c>
      <c r="M11" s="305">
        <f t="shared" si="0"/>
        <v>0</v>
      </c>
      <c r="N11" s="305">
        <f t="shared" si="0"/>
        <v>0</v>
      </c>
      <c r="O11" s="305"/>
      <c r="P11" s="305">
        <f t="shared" si="0"/>
        <v>0</v>
      </c>
      <c r="Q11" s="305">
        <f t="shared" si="0"/>
        <v>0</v>
      </c>
      <c r="R11" s="305">
        <f t="shared" si="0"/>
        <v>0</v>
      </c>
      <c r="S11" s="305">
        <f t="shared" si="0"/>
        <v>0</v>
      </c>
      <c r="T11" s="305">
        <f t="shared" si="0"/>
        <v>0</v>
      </c>
      <c r="U11" s="305">
        <f t="shared" si="0"/>
        <v>0</v>
      </c>
      <c r="V11" s="305">
        <f t="shared" si="0"/>
        <v>0</v>
      </c>
      <c r="W11" s="305">
        <f t="shared" si="0"/>
        <v>0</v>
      </c>
      <c r="X11" s="305">
        <f t="shared" si="0"/>
        <v>0</v>
      </c>
      <c r="Y11" s="305">
        <f t="shared" si="0"/>
        <v>0</v>
      </c>
      <c r="Z11" s="305">
        <f t="shared" ref="Z11:AI11" si="1">Z9/Z10*100</f>
        <v>0</v>
      </c>
      <c r="AA11" s="305">
        <f t="shared" si="1"/>
        <v>0</v>
      </c>
      <c r="AB11" s="305">
        <f t="shared" si="1"/>
        <v>0</v>
      </c>
      <c r="AC11" s="305">
        <f t="shared" si="1"/>
        <v>0</v>
      </c>
      <c r="AD11" s="305">
        <f t="shared" si="1"/>
        <v>0</v>
      </c>
      <c r="AE11" s="305">
        <f t="shared" si="1"/>
        <v>0</v>
      </c>
      <c r="AF11" s="305">
        <f t="shared" si="1"/>
        <v>0</v>
      </c>
      <c r="AG11" s="305">
        <f t="shared" si="1"/>
        <v>0</v>
      </c>
      <c r="AH11" s="305">
        <f t="shared" si="1"/>
        <v>0</v>
      </c>
      <c r="AI11" s="305">
        <f t="shared" si="1"/>
        <v>0</v>
      </c>
      <c r="AJ11" s="305">
        <f>AJ9/AJ10*100</f>
        <v>0</v>
      </c>
    </row>
    <row r="12" spans="1:36" ht="35.25" customHeight="1" x14ac:dyDescent="0.2">
      <c r="A12" s="62"/>
      <c r="B12" s="475" t="s">
        <v>657</v>
      </c>
      <c r="C12" s="533"/>
      <c r="D12" s="65"/>
      <c r="E12" s="67"/>
      <c r="F12" s="306">
        <v>1</v>
      </c>
      <c r="G12" s="306">
        <v>1</v>
      </c>
      <c r="H12" s="306">
        <v>1</v>
      </c>
      <c r="I12" s="306">
        <v>1</v>
      </c>
      <c r="J12" s="306">
        <v>1</v>
      </c>
      <c r="K12" s="306">
        <v>1</v>
      </c>
      <c r="L12" s="306">
        <v>1</v>
      </c>
      <c r="M12" s="306">
        <v>1</v>
      </c>
      <c r="N12" s="306">
        <v>1</v>
      </c>
      <c r="O12" s="306"/>
      <c r="P12" s="306">
        <v>1</v>
      </c>
      <c r="Q12" s="306">
        <v>1</v>
      </c>
      <c r="R12" s="306">
        <v>1</v>
      </c>
      <c r="S12" s="306">
        <v>1</v>
      </c>
      <c r="T12" s="306">
        <v>1</v>
      </c>
      <c r="U12" s="306">
        <v>1</v>
      </c>
      <c r="V12" s="306">
        <v>1</v>
      </c>
      <c r="W12" s="306">
        <v>1</v>
      </c>
      <c r="X12" s="306">
        <v>1</v>
      </c>
      <c r="Y12" s="306">
        <v>1</v>
      </c>
      <c r="Z12" s="306">
        <v>1</v>
      </c>
      <c r="AA12" s="306">
        <v>1</v>
      </c>
      <c r="AB12" s="306">
        <v>1</v>
      </c>
      <c r="AC12" s="306">
        <v>1</v>
      </c>
      <c r="AD12" s="306">
        <v>1</v>
      </c>
      <c r="AE12" s="306">
        <v>1</v>
      </c>
      <c r="AF12" s="306">
        <v>1</v>
      </c>
      <c r="AG12" s="306">
        <v>1</v>
      </c>
      <c r="AH12" s="306">
        <v>1</v>
      </c>
      <c r="AI12" s="306">
        <v>1</v>
      </c>
      <c r="AJ12" s="306">
        <v>1</v>
      </c>
    </row>
    <row r="13" spans="1:36" ht="165.6" customHeight="1" x14ac:dyDescent="0.2">
      <c r="A13" s="62" t="s">
        <v>70</v>
      </c>
      <c r="B13" s="973" t="s">
        <v>71</v>
      </c>
      <c r="C13" s="63" t="s">
        <v>72</v>
      </c>
      <c r="D13" s="63" t="s">
        <v>73</v>
      </c>
      <c r="E13" s="68"/>
      <c r="F13" s="304">
        <v>0</v>
      </c>
      <c r="G13" s="304">
        <v>0</v>
      </c>
      <c r="H13" s="304">
        <v>0</v>
      </c>
      <c r="I13" s="304">
        <v>0</v>
      </c>
      <c r="J13" s="304">
        <v>0</v>
      </c>
      <c r="K13" s="304">
        <v>0</v>
      </c>
      <c r="L13" s="304">
        <v>0</v>
      </c>
      <c r="M13" s="304">
        <v>0</v>
      </c>
      <c r="N13" s="304">
        <v>0</v>
      </c>
      <c r="O13" s="304"/>
      <c r="P13" s="304">
        <v>0</v>
      </c>
      <c r="Q13" s="304">
        <v>0</v>
      </c>
      <c r="R13" s="304">
        <v>0</v>
      </c>
      <c r="S13" s="304">
        <v>0</v>
      </c>
      <c r="T13" s="304">
        <v>0</v>
      </c>
      <c r="U13" s="304">
        <v>0</v>
      </c>
      <c r="V13" s="304">
        <v>0</v>
      </c>
      <c r="W13" s="304">
        <v>0</v>
      </c>
      <c r="X13" s="304">
        <v>0</v>
      </c>
      <c r="Y13" s="304">
        <v>0</v>
      </c>
      <c r="Z13" s="304">
        <v>0</v>
      </c>
      <c r="AA13" s="304">
        <v>0</v>
      </c>
      <c r="AB13" s="304">
        <v>0</v>
      </c>
      <c r="AC13" s="304">
        <v>0</v>
      </c>
      <c r="AD13" s="304">
        <v>0</v>
      </c>
      <c r="AE13" s="304">
        <v>0</v>
      </c>
      <c r="AF13" s="304">
        <v>0</v>
      </c>
      <c r="AG13" s="304">
        <v>0</v>
      </c>
      <c r="AH13" s="304">
        <v>0</v>
      </c>
      <c r="AI13" s="304">
        <v>0</v>
      </c>
      <c r="AJ13" s="304">
        <v>0</v>
      </c>
    </row>
    <row r="14" spans="1:36" ht="65.45" customHeight="1" x14ac:dyDescent="0.2">
      <c r="A14" s="62" t="s">
        <v>74</v>
      </c>
      <c r="B14" s="973" t="s">
        <v>636</v>
      </c>
      <c r="C14" s="63" t="s">
        <v>75</v>
      </c>
      <c r="D14" s="63" t="s">
        <v>73</v>
      </c>
      <c r="E14" s="68"/>
      <c r="F14" s="304">
        <v>22</v>
      </c>
      <c r="G14" s="304">
        <v>3</v>
      </c>
      <c r="H14" s="304">
        <v>7</v>
      </c>
      <c r="I14" s="304">
        <v>12</v>
      </c>
      <c r="J14" s="304">
        <v>2</v>
      </c>
      <c r="K14" s="304">
        <v>2</v>
      </c>
      <c r="L14" s="304">
        <v>2</v>
      </c>
      <c r="M14" s="304">
        <v>8</v>
      </c>
      <c r="N14" s="304">
        <v>5</v>
      </c>
      <c r="O14" s="304"/>
      <c r="P14" s="304">
        <v>2</v>
      </c>
      <c r="Q14" s="304">
        <v>2</v>
      </c>
      <c r="R14" s="304">
        <v>14</v>
      </c>
      <c r="S14" s="304">
        <v>1</v>
      </c>
      <c r="T14" s="304">
        <v>8</v>
      </c>
      <c r="U14" s="304">
        <v>1</v>
      </c>
      <c r="V14" s="304">
        <v>15</v>
      </c>
      <c r="W14" s="304">
        <v>4</v>
      </c>
      <c r="X14" s="304">
        <v>3</v>
      </c>
      <c r="Y14" s="304">
        <v>4</v>
      </c>
      <c r="Z14" s="304">
        <v>7</v>
      </c>
      <c r="AA14" s="304">
        <v>2</v>
      </c>
      <c r="AB14" s="304">
        <v>3</v>
      </c>
      <c r="AC14" s="304">
        <v>11</v>
      </c>
      <c r="AD14" s="304">
        <v>13</v>
      </c>
      <c r="AE14" s="304">
        <v>13</v>
      </c>
      <c r="AF14" s="304">
        <v>12</v>
      </c>
      <c r="AG14" s="304">
        <v>13</v>
      </c>
      <c r="AH14" s="304">
        <v>13</v>
      </c>
      <c r="AI14" s="304">
        <v>14</v>
      </c>
      <c r="AJ14" s="304">
        <v>14</v>
      </c>
    </row>
    <row r="15" spans="1:36" ht="258" customHeight="1" x14ac:dyDescent="0.2">
      <c r="A15" s="62" t="s">
        <v>76</v>
      </c>
      <c r="B15" s="973" t="s">
        <v>637</v>
      </c>
      <c r="C15" s="63" t="s">
        <v>75</v>
      </c>
      <c r="D15" s="63" t="s">
        <v>73</v>
      </c>
      <c r="E15" s="68"/>
      <c r="F15" s="304">
        <v>0</v>
      </c>
      <c r="G15" s="304">
        <v>0</v>
      </c>
      <c r="H15" s="304">
        <v>0</v>
      </c>
      <c r="I15" s="304">
        <v>0</v>
      </c>
      <c r="J15" s="304">
        <v>0</v>
      </c>
      <c r="K15" s="304">
        <v>0</v>
      </c>
      <c r="L15" s="304">
        <v>0</v>
      </c>
      <c r="M15" s="304">
        <v>0</v>
      </c>
      <c r="N15" s="304">
        <v>0</v>
      </c>
      <c r="O15" s="304"/>
      <c r="P15" s="304">
        <v>0</v>
      </c>
      <c r="Q15" s="304">
        <v>0</v>
      </c>
      <c r="R15" s="304">
        <v>0</v>
      </c>
      <c r="S15" s="304">
        <v>0</v>
      </c>
      <c r="T15" s="304">
        <v>0</v>
      </c>
      <c r="U15" s="304">
        <v>0</v>
      </c>
      <c r="V15" s="304">
        <v>0</v>
      </c>
      <c r="W15" s="304">
        <v>0</v>
      </c>
      <c r="X15" s="304">
        <v>0</v>
      </c>
      <c r="Y15" s="304">
        <v>0</v>
      </c>
      <c r="Z15" s="304">
        <v>0</v>
      </c>
      <c r="AA15" s="304">
        <v>0</v>
      </c>
      <c r="AB15" s="304">
        <v>0</v>
      </c>
      <c r="AC15" s="304">
        <v>0</v>
      </c>
      <c r="AD15" s="304">
        <v>0</v>
      </c>
      <c r="AE15" s="304">
        <v>0</v>
      </c>
      <c r="AF15" s="304">
        <v>0</v>
      </c>
      <c r="AG15" s="304">
        <v>0</v>
      </c>
      <c r="AH15" s="304">
        <v>0</v>
      </c>
      <c r="AI15" s="304">
        <v>0</v>
      </c>
      <c r="AJ15" s="304">
        <v>0</v>
      </c>
    </row>
    <row r="16" spans="1:36" ht="110.25" customHeight="1" x14ac:dyDescent="0.2">
      <c r="A16" s="62" t="s">
        <v>77</v>
      </c>
      <c r="B16" s="973" t="s">
        <v>78</v>
      </c>
      <c r="C16" s="63" t="s">
        <v>26</v>
      </c>
      <c r="D16" s="63" t="s">
        <v>73</v>
      </c>
      <c r="E16" s="68"/>
      <c r="F16" s="307">
        <v>0</v>
      </c>
      <c r="G16" s="307">
        <v>0</v>
      </c>
      <c r="H16" s="307">
        <v>0</v>
      </c>
      <c r="I16" s="307">
        <v>0</v>
      </c>
      <c r="J16" s="307">
        <v>0</v>
      </c>
      <c r="K16" s="307">
        <v>0</v>
      </c>
      <c r="L16" s="307">
        <v>0</v>
      </c>
      <c r="M16" s="307">
        <v>0</v>
      </c>
      <c r="N16" s="307">
        <v>0</v>
      </c>
      <c r="O16" s="307"/>
      <c r="P16" s="307">
        <v>0</v>
      </c>
      <c r="Q16" s="307">
        <v>0</v>
      </c>
      <c r="R16" s="307">
        <v>0</v>
      </c>
      <c r="S16" s="307">
        <v>0</v>
      </c>
      <c r="T16" s="307">
        <v>0</v>
      </c>
      <c r="U16" s="307">
        <v>0</v>
      </c>
      <c r="V16" s="307">
        <v>0</v>
      </c>
      <c r="W16" s="307">
        <v>0</v>
      </c>
      <c r="X16" s="307">
        <v>0</v>
      </c>
      <c r="Y16" s="307">
        <v>0</v>
      </c>
      <c r="Z16" s="307">
        <v>0</v>
      </c>
      <c r="AA16" s="307">
        <v>0</v>
      </c>
      <c r="AB16" s="307">
        <v>0</v>
      </c>
      <c r="AC16" s="307">
        <v>0</v>
      </c>
      <c r="AD16" s="307">
        <v>0</v>
      </c>
      <c r="AE16" s="307">
        <v>0</v>
      </c>
      <c r="AF16" s="307">
        <v>0</v>
      </c>
      <c r="AG16" s="307">
        <v>0</v>
      </c>
      <c r="AH16" s="307">
        <v>0</v>
      </c>
      <c r="AI16" s="307">
        <v>0</v>
      </c>
      <c r="AJ16" s="307">
        <v>0</v>
      </c>
    </row>
    <row r="17" spans="1:38" ht="74.099999999999994" customHeight="1" x14ac:dyDescent="0.2">
      <c r="A17" s="62" t="s">
        <v>79</v>
      </c>
      <c r="B17" s="973" t="s">
        <v>80</v>
      </c>
      <c r="C17" s="63" t="s">
        <v>26</v>
      </c>
      <c r="D17" s="63" t="s">
        <v>73</v>
      </c>
      <c r="E17" s="68"/>
      <c r="F17" s="976">
        <v>389444.4</v>
      </c>
      <c r="G17" s="347">
        <v>29404.3</v>
      </c>
      <c r="H17" s="347">
        <v>482379</v>
      </c>
      <c r="I17" s="347">
        <v>175591.3</v>
      </c>
      <c r="J17" s="347">
        <v>7334.4</v>
      </c>
      <c r="K17" s="347">
        <v>43808.4</v>
      </c>
      <c r="L17" s="347">
        <v>12970.5</v>
      </c>
      <c r="M17" s="347">
        <v>96077.8</v>
      </c>
      <c r="N17" s="347">
        <v>12992.5</v>
      </c>
      <c r="O17" s="347"/>
      <c r="P17" s="347">
        <v>51208.5</v>
      </c>
      <c r="Q17" s="347">
        <v>21794.799999999999</v>
      </c>
      <c r="R17" s="347">
        <v>1136949</v>
      </c>
      <c r="S17" s="347">
        <v>99672.4</v>
      </c>
      <c r="T17" s="347">
        <v>2447950.1</v>
      </c>
      <c r="U17" s="347">
        <v>102648.3</v>
      </c>
      <c r="V17" s="347">
        <v>802059</v>
      </c>
      <c r="W17" s="347">
        <v>341963</v>
      </c>
      <c r="X17" s="347">
        <v>14880.9</v>
      </c>
      <c r="Y17" s="347">
        <v>102509.4</v>
      </c>
      <c r="Z17" s="347">
        <v>59810.9</v>
      </c>
      <c r="AA17" s="347">
        <v>7675.9</v>
      </c>
      <c r="AB17" s="347">
        <v>9242.7000000000007</v>
      </c>
      <c r="AC17" s="347">
        <v>201688.3</v>
      </c>
      <c r="AD17" s="347">
        <v>13016.9</v>
      </c>
      <c r="AE17" s="347">
        <v>12565.4</v>
      </c>
      <c r="AF17" s="347">
        <v>12496.7</v>
      </c>
      <c r="AG17" s="347">
        <v>12119</v>
      </c>
      <c r="AH17" s="347">
        <v>33624.9</v>
      </c>
      <c r="AI17" s="347">
        <v>31665.3</v>
      </c>
      <c r="AJ17" s="347">
        <v>25535.1</v>
      </c>
      <c r="AK17" s="69"/>
      <c r="AL17" s="70"/>
    </row>
    <row r="18" spans="1:38" ht="110.1" customHeight="1" x14ac:dyDescent="0.2">
      <c r="A18" s="71" t="s">
        <v>81</v>
      </c>
      <c r="B18" s="977" t="s">
        <v>82</v>
      </c>
      <c r="C18" s="72" t="s">
        <v>26</v>
      </c>
      <c r="D18" s="63" t="s">
        <v>73</v>
      </c>
      <c r="E18" s="68"/>
      <c r="F18" s="976">
        <v>118177.1</v>
      </c>
      <c r="G18" s="347">
        <v>11894.5</v>
      </c>
      <c r="H18" s="347">
        <v>157622.20000000001</v>
      </c>
      <c r="I18" s="347">
        <v>175591.3</v>
      </c>
      <c r="J18" s="347">
        <v>7334.4</v>
      </c>
      <c r="K18" s="347">
        <v>43808.4</v>
      </c>
      <c r="L18" s="347">
        <v>12970.5</v>
      </c>
      <c r="M18" s="347">
        <v>96077.8</v>
      </c>
      <c r="N18" s="347">
        <v>12992.5</v>
      </c>
      <c r="O18" s="347"/>
      <c r="P18" s="347">
        <v>51208.5</v>
      </c>
      <c r="Q18" s="347">
        <v>7478.5</v>
      </c>
      <c r="R18" s="347">
        <v>428363</v>
      </c>
      <c r="S18" s="347">
        <v>32646.1</v>
      </c>
      <c r="T18" s="347">
        <v>775369.7</v>
      </c>
      <c r="U18" s="347">
        <v>33901.9</v>
      </c>
      <c r="V18" s="347">
        <v>265277.3</v>
      </c>
      <c r="W18" s="347">
        <v>110703.3</v>
      </c>
      <c r="X18" s="347">
        <v>4939.6000000000004</v>
      </c>
      <c r="Y18" s="347">
        <v>48217.599999999999</v>
      </c>
      <c r="Z18" s="347">
        <v>19847.099999999999</v>
      </c>
      <c r="AA18" s="347">
        <v>2556.9</v>
      </c>
      <c r="AB18" s="347">
        <v>3080.9</v>
      </c>
      <c r="AC18" s="347">
        <v>74891</v>
      </c>
      <c r="AD18" s="347">
        <v>4508</v>
      </c>
      <c r="AE18" s="347">
        <v>4241.6000000000004</v>
      </c>
      <c r="AF18" s="347">
        <v>4412</v>
      </c>
      <c r="AG18" s="347">
        <v>4134.6000000000004</v>
      </c>
      <c r="AH18" s="347">
        <v>11526.7</v>
      </c>
      <c r="AI18" s="347">
        <v>19759.5</v>
      </c>
      <c r="AJ18" s="347">
        <v>16711.3</v>
      </c>
      <c r="AK18" s="69"/>
    </row>
    <row r="19" spans="1:38" ht="110.1" customHeight="1" x14ac:dyDescent="0.2">
      <c r="A19" s="62" t="s">
        <v>83</v>
      </c>
      <c r="B19" s="977" t="s">
        <v>84</v>
      </c>
      <c r="C19" s="72" t="s">
        <v>26</v>
      </c>
      <c r="D19" s="63" t="s">
        <v>73</v>
      </c>
      <c r="E19" s="68"/>
      <c r="F19" s="976">
        <v>389444.4</v>
      </c>
      <c r="G19" s="347">
        <v>29404.3</v>
      </c>
      <c r="H19" s="347">
        <v>482379</v>
      </c>
      <c r="I19" s="347">
        <v>175591.3</v>
      </c>
      <c r="J19" s="347">
        <v>7334.4</v>
      </c>
      <c r="K19" s="347">
        <v>43808.4</v>
      </c>
      <c r="L19" s="347">
        <v>12970.5</v>
      </c>
      <c r="M19" s="347">
        <v>96077.8</v>
      </c>
      <c r="N19" s="347">
        <v>12992.5</v>
      </c>
      <c r="O19" s="347"/>
      <c r="P19" s="347">
        <v>51208.5</v>
      </c>
      <c r="Q19" s="347">
        <v>21794.799999999999</v>
      </c>
      <c r="R19" s="347">
        <v>1136949</v>
      </c>
      <c r="S19" s="347">
        <v>99672.4</v>
      </c>
      <c r="T19" s="347">
        <v>2447950.1</v>
      </c>
      <c r="U19" s="347">
        <v>102648.3</v>
      </c>
      <c r="V19" s="347">
        <v>802059</v>
      </c>
      <c r="W19" s="347">
        <v>341963</v>
      </c>
      <c r="X19" s="347">
        <v>14880.9</v>
      </c>
      <c r="Y19" s="347">
        <v>102509.4</v>
      </c>
      <c r="Z19" s="347">
        <v>59810.9</v>
      </c>
      <c r="AA19" s="347">
        <v>7675.9</v>
      </c>
      <c r="AB19" s="347">
        <v>9242.7000000000007</v>
      </c>
      <c r="AC19" s="347">
        <v>201688.3</v>
      </c>
      <c r="AD19" s="347">
        <v>13016.9</v>
      </c>
      <c r="AE19" s="347">
        <v>12565.4</v>
      </c>
      <c r="AF19" s="347">
        <v>12496.7</v>
      </c>
      <c r="AG19" s="347">
        <v>12119</v>
      </c>
      <c r="AH19" s="347">
        <v>33624.9</v>
      </c>
      <c r="AI19" s="347">
        <v>31665.3</v>
      </c>
      <c r="AJ19" s="347">
        <v>25535.1</v>
      </c>
      <c r="AK19" s="69"/>
    </row>
    <row r="20" spans="1:38" ht="81.75" customHeight="1" x14ac:dyDescent="0.2">
      <c r="A20" s="62" t="s">
        <v>623</v>
      </c>
      <c r="B20" s="973" t="s">
        <v>624</v>
      </c>
      <c r="C20" s="72" t="s">
        <v>26</v>
      </c>
      <c r="D20" s="63" t="s">
        <v>73</v>
      </c>
      <c r="E20" s="68"/>
      <c r="F20" s="976">
        <v>389444.4</v>
      </c>
      <c r="G20" s="347">
        <v>29404.3</v>
      </c>
      <c r="H20" s="347">
        <v>482379</v>
      </c>
      <c r="I20" s="347">
        <v>175591.3</v>
      </c>
      <c r="J20" s="347">
        <v>7334.4</v>
      </c>
      <c r="K20" s="347">
        <v>43808.4</v>
      </c>
      <c r="L20" s="347">
        <v>12970.5</v>
      </c>
      <c r="M20" s="347">
        <v>96077.8</v>
      </c>
      <c r="N20" s="347">
        <v>12992.5</v>
      </c>
      <c r="O20" s="347"/>
      <c r="P20" s="347">
        <v>51208.5</v>
      </c>
      <c r="Q20" s="347">
        <v>21794.799999999999</v>
      </c>
      <c r="R20" s="347">
        <v>1136949</v>
      </c>
      <c r="S20" s="347">
        <v>99672.4</v>
      </c>
      <c r="T20" s="347">
        <v>2447950.1</v>
      </c>
      <c r="U20" s="347">
        <v>102648.3</v>
      </c>
      <c r="V20" s="347">
        <v>802059</v>
      </c>
      <c r="W20" s="347">
        <v>341963</v>
      </c>
      <c r="X20" s="347">
        <v>14880.9</v>
      </c>
      <c r="Y20" s="347">
        <v>102509.4</v>
      </c>
      <c r="Z20" s="347">
        <v>59810.9</v>
      </c>
      <c r="AA20" s="347">
        <v>7675.9</v>
      </c>
      <c r="AB20" s="347">
        <v>9242.7000000000007</v>
      </c>
      <c r="AC20" s="347">
        <v>201688.3</v>
      </c>
      <c r="AD20" s="347">
        <v>13016.9</v>
      </c>
      <c r="AE20" s="347">
        <v>12565.4</v>
      </c>
      <c r="AF20" s="347">
        <v>12496.7</v>
      </c>
      <c r="AG20" s="347">
        <v>12119</v>
      </c>
      <c r="AH20" s="347">
        <v>33624.9</v>
      </c>
      <c r="AI20" s="347">
        <v>31665.3</v>
      </c>
      <c r="AJ20" s="347">
        <v>25535.1</v>
      </c>
      <c r="AK20" s="69"/>
    </row>
    <row r="21" spans="1:38" ht="106.5" customHeight="1" x14ac:dyDescent="0.2">
      <c r="A21" s="62" t="s">
        <v>625</v>
      </c>
      <c r="B21" s="973" t="s">
        <v>639</v>
      </c>
      <c r="C21" s="63" t="s">
        <v>26</v>
      </c>
      <c r="D21" s="63" t="s">
        <v>73</v>
      </c>
      <c r="E21" s="68"/>
      <c r="F21" s="976">
        <v>389444.4</v>
      </c>
      <c r="G21" s="347">
        <v>29404.3</v>
      </c>
      <c r="H21" s="347">
        <v>482379</v>
      </c>
      <c r="I21" s="347">
        <v>175591.3</v>
      </c>
      <c r="J21" s="347">
        <v>7334.4</v>
      </c>
      <c r="K21" s="347">
        <v>43808.4</v>
      </c>
      <c r="L21" s="347">
        <v>12970.5</v>
      </c>
      <c r="M21" s="347">
        <v>96077.8</v>
      </c>
      <c r="N21" s="347">
        <v>12992.5</v>
      </c>
      <c r="O21" s="347"/>
      <c r="P21" s="347">
        <v>51208.5</v>
      </c>
      <c r="Q21" s="347">
        <v>21794.799999999999</v>
      </c>
      <c r="R21" s="347">
        <v>1136949</v>
      </c>
      <c r="S21" s="347">
        <v>99672.4</v>
      </c>
      <c r="T21" s="347">
        <v>2447950.1</v>
      </c>
      <c r="U21" s="347">
        <v>102648.3</v>
      </c>
      <c r="V21" s="347">
        <v>802059</v>
      </c>
      <c r="W21" s="347">
        <v>341963</v>
      </c>
      <c r="X21" s="347">
        <v>14880.9</v>
      </c>
      <c r="Y21" s="347">
        <v>102509.4</v>
      </c>
      <c r="Z21" s="347">
        <v>59810.9</v>
      </c>
      <c r="AA21" s="347">
        <v>7675.9</v>
      </c>
      <c r="AB21" s="347">
        <v>9242.7000000000007</v>
      </c>
      <c r="AC21" s="347">
        <v>201688.3</v>
      </c>
      <c r="AD21" s="347">
        <v>13016.9</v>
      </c>
      <c r="AE21" s="347">
        <v>12565.4</v>
      </c>
      <c r="AF21" s="347">
        <v>12496.7</v>
      </c>
      <c r="AG21" s="347">
        <v>12119</v>
      </c>
      <c r="AH21" s="347">
        <v>33624.9</v>
      </c>
      <c r="AI21" s="347">
        <v>31665.3</v>
      </c>
      <c r="AJ21" s="347">
        <v>25535.1</v>
      </c>
      <c r="AK21" s="69"/>
    </row>
    <row r="22" spans="1:38" ht="1.5" customHeight="1" x14ac:dyDescent="0.2">
      <c r="A22" s="62"/>
      <c r="B22" s="973" t="s">
        <v>128</v>
      </c>
      <c r="C22" s="63"/>
      <c r="D22" s="63"/>
      <c r="E22" s="68"/>
      <c r="F22" s="976"/>
      <c r="G22" s="347"/>
      <c r="H22" s="347"/>
      <c r="I22" s="347"/>
      <c r="J22" s="347"/>
      <c r="K22" s="347"/>
      <c r="L22" s="347"/>
      <c r="M22" s="347"/>
      <c r="N22" s="347"/>
      <c r="O22" s="347"/>
      <c r="P22" s="347"/>
      <c r="Q22" s="347"/>
      <c r="R22" s="347"/>
      <c r="S22" s="347"/>
      <c r="T22" s="347"/>
      <c r="U22" s="347"/>
      <c r="V22" s="347"/>
      <c r="W22" s="347"/>
      <c r="X22" s="347"/>
      <c r="Y22" s="347">
        <v>102509.4</v>
      </c>
      <c r="Z22" s="347"/>
      <c r="AA22" s="347"/>
      <c r="AB22" s="347"/>
      <c r="AC22" s="347"/>
      <c r="AD22" s="347">
        <v>13016.9</v>
      </c>
      <c r="AE22" s="347"/>
      <c r="AF22" s="347"/>
      <c r="AG22" s="347"/>
      <c r="AH22" s="347"/>
      <c r="AI22" s="347"/>
      <c r="AJ22" s="347"/>
      <c r="AK22" s="69"/>
    </row>
    <row r="23" spans="1:38" ht="156" customHeight="1" x14ac:dyDescent="0.2">
      <c r="A23" s="62" t="s">
        <v>626</v>
      </c>
      <c r="B23" s="973" t="s">
        <v>638</v>
      </c>
      <c r="C23" s="63" t="s">
        <v>26</v>
      </c>
      <c r="D23" s="63" t="s">
        <v>73</v>
      </c>
      <c r="E23" s="68"/>
      <c r="F23" s="976">
        <v>389444.4</v>
      </c>
      <c r="G23" s="347">
        <v>29404.3</v>
      </c>
      <c r="H23" s="347">
        <v>482379</v>
      </c>
      <c r="I23" s="347">
        <v>0</v>
      </c>
      <c r="J23" s="347">
        <v>0</v>
      </c>
      <c r="K23" s="347">
        <v>0</v>
      </c>
      <c r="L23" s="347">
        <v>0</v>
      </c>
      <c r="M23" s="347">
        <v>0</v>
      </c>
      <c r="N23" s="347">
        <v>0</v>
      </c>
      <c r="O23" s="347"/>
      <c r="P23" s="347">
        <v>0</v>
      </c>
      <c r="Q23" s="347">
        <v>21794.799999999999</v>
      </c>
      <c r="R23" s="347">
        <v>1136949</v>
      </c>
      <c r="S23" s="347">
        <v>99672.4</v>
      </c>
      <c r="T23" s="347">
        <v>2447950.1</v>
      </c>
      <c r="U23" s="347">
        <v>102648.3</v>
      </c>
      <c r="V23" s="347">
        <v>802059</v>
      </c>
      <c r="W23" s="347">
        <v>341963</v>
      </c>
      <c r="X23" s="347">
        <v>14880.9</v>
      </c>
      <c r="Y23" s="347">
        <v>102509.4</v>
      </c>
      <c r="Z23" s="347">
        <v>59810.9</v>
      </c>
      <c r="AA23" s="347">
        <v>7675.9</v>
      </c>
      <c r="AB23" s="347">
        <v>9242.7000000000007</v>
      </c>
      <c r="AC23" s="347">
        <v>201688.3</v>
      </c>
      <c r="AD23" s="347">
        <v>13016.9</v>
      </c>
      <c r="AE23" s="347">
        <v>12565.4</v>
      </c>
      <c r="AF23" s="347">
        <v>12496.7</v>
      </c>
      <c r="AG23" s="347">
        <v>12119</v>
      </c>
      <c r="AH23" s="347">
        <v>33624.9</v>
      </c>
      <c r="AI23" s="347">
        <v>31665.3</v>
      </c>
      <c r="AJ23" s="347">
        <v>25535.1</v>
      </c>
      <c r="AK23" s="69"/>
    </row>
    <row r="24" spans="1:38" ht="111.75" customHeight="1" x14ac:dyDescent="0.2">
      <c r="A24" s="62" t="s">
        <v>627</v>
      </c>
      <c r="B24" s="973" t="s">
        <v>640</v>
      </c>
      <c r="C24" s="63" t="s">
        <v>26</v>
      </c>
      <c r="D24" s="63" t="s">
        <v>73</v>
      </c>
      <c r="E24" s="68"/>
      <c r="F24" s="976">
        <v>389444.4</v>
      </c>
      <c r="G24" s="347">
        <v>29404.3</v>
      </c>
      <c r="H24" s="347">
        <v>482379</v>
      </c>
      <c r="I24" s="347">
        <v>175591.3</v>
      </c>
      <c r="J24" s="347">
        <v>7334.4</v>
      </c>
      <c r="K24" s="347">
        <v>43808.4</v>
      </c>
      <c r="L24" s="347">
        <v>12970.5</v>
      </c>
      <c r="M24" s="347">
        <v>96077.8</v>
      </c>
      <c r="N24" s="347">
        <v>12992.5</v>
      </c>
      <c r="O24" s="347"/>
      <c r="P24" s="347">
        <v>51208.5</v>
      </c>
      <c r="Q24" s="347">
        <v>21794.799999999999</v>
      </c>
      <c r="R24" s="347">
        <v>1136949</v>
      </c>
      <c r="S24" s="347">
        <v>99672.4</v>
      </c>
      <c r="T24" s="347">
        <v>2447950.1</v>
      </c>
      <c r="U24" s="347">
        <v>102648.3</v>
      </c>
      <c r="V24" s="347">
        <v>802059</v>
      </c>
      <c r="W24" s="347">
        <v>341963</v>
      </c>
      <c r="X24" s="347">
        <v>14880.9</v>
      </c>
      <c r="Y24" s="347">
        <v>102509.4</v>
      </c>
      <c r="Z24" s="347">
        <v>59810.9</v>
      </c>
      <c r="AA24" s="347">
        <v>7675.9</v>
      </c>
      <c r="AB24" s="347">
        <v>9242.7000000000007</v>
      </c>
      <c r="AC24" s="347">
        <v>201688.3</v>
      </c>
      <c r="AD24" s="347">
        <v>13016.9</v>
      </c>
      <c r="AE24" s="347">
        <v>12565.4</v>
      </c>
      <c r="AF24" s="347">
        <v>12496.7</v>
      </c>
      <c r="AG24" s="347">
        <v>12119</v>
      </c>
      <c r="AH24" s="347">
        <v>33624.9</v>
      </c>
      <c r="AI24" s="347">
        <v>31665.3</v>
      </c>
      <c r="AJ24" s="347">
        <v>25535.1</v>
      </c>
      <c r="AK24" s="69"/>
    </row>
    <row r="25" spans="1:38" ht="156" customHeight="1" x14ac:dyDescent="0.2">
      <c r="A25" s="62" t="s">
        <v>628</v>
      </c>
      <c r="B25" s="973" t="s">
        <v>652</v>
      </c>
      <c r="C25" s="63" t="s">
        <v>26</v>
      </c>
      <c r="D25" s="63" t="s">
        <v>73</v>
      </c>
      <c r="E25" s="68"/>
      <c r="F25" s="976">
        <v>0</v>
      </c>
      <c r="G25" s="347">
        <v>0</v>
      </c>
      <c r="H25" s="347">
        <v>0</v>
      </c>
      <c r="I25" s="347">
        <v>568</v>
      </c>
      <c r="J25" s="347">
        <v>0</v>
      </c>
      <c r="K25" s="347">
        <v>403.2</v>
      </c>
      <c r="L25" s="347">
        <v>255</v>
      </c>
      <c r="M25" s="347">
        <v>23288.2</v>
      </c>
      <c r="N25" s="347">
        <v>2815</v>
      </c>
      <c r="O25" s="347"/>
      <c r="P25" s="347">
        <v>600</v>
      </c>
      <c r="Q25" s="347">
        <v>0</v>
      </c>
      <c r="R25" s="347">
        <v>0</v>
      </c>
      <c r="S25" s="347">
        <v>0</v>
      </c>
      <c r="T25" s="347">
        <v>0</v>
      </c>
      <c r="U25" s="347">
        <v>0</v>
      </c>
      <c r="V25" s="347">
        <v>0</v>
      </c>
      <c r="W25" s="347">
        <v>0</v>
      </c>
      <c r="X25" s="347">
        <v>0</v>
      </c>
      <c r="Y25" s="347">
        <v>0</v>
      </c>
      <c r="Z25" s="347">
        <v>0</v>
      </c>
      <c r="AA25" s="347">
        <v>0</v>
      </c>
      <c r="AB25" s="347">
        <v>0</v>
      </c>
      <c r="AC25" s="347">
        <v>0</v>
      </c>
      <c r="AD25" s="347">
        <v>0</v>
      </c>
      <c r="AE25" s="347">
        <v>0</v>
      </c>
      <c r="AF25" s="347">
        <v>0</v>
      </c>
      <c r="AG25" s="347">
        <v>0</v>
      </c>
      <c r="AH25" s="347">
        <v>0</v>
      </c>
      <c r="AI25" s="347">
        <v>0</v>
      </c>
      <c r="AJ25" s="347">
        <v>0</v>
      </c>
      <c r="AK25" s="69"/>
    </row>
    <row r="26" spans="1:38" ht="195" customHeight="1" x14ac:dyDescent="0.2">
      <c r="A26" s="62" t="s">
        <v>629</v>
      </c>
      <c r="B26" s="973" t="s">
        <v>651</v>
      </c>
      <c r="C26" s="63" t="s">
        <v>26</v>
      </c>
      <c r="D26" s="63" t="s">
        <v>73</v>
      </c>
      <c r="E26" s="68"/>
      <c r="F26" s="976">
        <v>0</v>
      </c>
      <c r="G26" s="157">
        <v>0</v>
      </c>
      <c r="H26" s="157">
        <v>0</v>
      </c>
      <c r="I26" s="347">
        <v>568</v>
      </c>
      <c r="J26" s="157">
        <v>0</v>
      </c>
      <c r="K26" s="347">
        <v>403.2</v>
      </c>
      <c r="L26" s="347">
        <v>255</v>
      </c>
      <c r="M26" s="347">
        <v>23288.2</v>
      </c>
      <c r="N26" s="347">
        <v>2815</v>
      </c>
      <c r="O26" s="347"/>
      <c r="P26" s="347">
        <v>600</v>
      </c>
      <c r="Q26" s="157">
        <v>0</v>
      </c>
      <c r="R26" s="157">
        <v>0</v>
      </c>
      <c r="S26" s="157">
        <v>0</v>
      </c>
      <c r="T26" s="157">
        <v>0</v>
      </c>
      <c r="U26" s="157">
        <v>0</v>
      </c>
      <c r="V26" s="157">
        <v>0</v>
      </c>
      <c r="W26" s="157">
        <v>0</v>
      </c>
      <c r="X26" s="157">
        <v>0</v>
      </c>
      <c r="Y26" s="157">
        <v>0</v>
      </c>
      <c r="Z26" s="347">
        <v>0</v>
      </c>
      <c r="AA26" s="347">
        <v>0</v>
      </c>
      <c r="AB26" s="347">
        <v>0</v>
      </c>
      <c r="AC26" s="347">
        <v>0</v>
      </c>
      <c r="AD26" s="347">
        <v>0</v>
      </c>
      <c r="AE26" s="347">
        <v>0</v>
      </c>
      <c r="AF26" s="347">
        <v>0</v>
      </c>
      <c r="AG26" s="347">
        <v>0</v>
      </c>
      <c r="AH26" s="347">
        <v>0</v>
      </c>
      <c r="AI26" s="347">
        <v>0</v>
      </c>
      <c r="AJ26" s="347">
        <v>0</v>
      </c>
      <c r="AK26" s="69"/>
    </row>
    <row r="27" spans="1:38" ht="96" customHeight="1" x14ac:dyDescent="0.2">
      <c r="A27" s="901" t="s">
        <v>650</v>
      </c>
      <c r="B27" s="902"/>
      <c r="C27" s="902"/>
      <c r="D27" s="902"/>
      <c r="E27" s="903"/>
      <c r="F27" s="348" t="e">
        <f t="shared" ref="F27" si="2">(F25/F26)*100</f>
        <v>#DIV/0!</v>
      </c>
      <c r="G27" s="348" t="e">
        <f t="shared" ref="G27" si="3">(G25/G26)*100</f>
        <v>#DIV/0!</v>
      </c>
      <c r="H27" s="348" t="e">
        <f t="shared" ref="H27" si="4">(H25/H26)*100</f>
        <v>#DIV/0!</v>
      </c>
      <c r="I27" s="348">
        <f>(I25/I26)*100</f>
        <v>100</v>
      </c>
      <c r="J27" s="348" t="e">
        <f t="shared" ref="J27" si="5">(J25/J26)*100</f>
        <v>#DIV/0!</v>
      </c>
      <c r="K27" s="348">
        <f t="shared" ref="K27:N27" si="6">(K25/K26)*100</f>
        <v>100</v>
      </c>
      <c r="L27" s="348">
        <f t="shared" si="6"/>
        <v>100</v>
      </c>
      <c r="M27" s="348">
        <f t="shared" si="6"/>
        <v>100</v>
      </c>
      <c r="N27" s="348">
        <f t="shared" si="6"/>
        <v>100</v>
      </c>
      <c r="O27" s="348"/>
      <c r="P27" s="348">
        <f t="shared" ref="P27" si="7">(P25/P26)*100</f>
        <v>100</v>
      </c>
      <c r="Q27" s="348" t="e">
        <f t="shared" ref="Q27" si="8">(Q25/Q26)*100</f>
        <v>#DIV/0!</v>
      </c>
      <c r="R27" s="348" t="e">
        <f t="shared" ref="R27" si="9">(R25/R26)*100</f>
        <v>#DIV/0!</v>
      </c>
      <c r="S27" s="348" t="e">
        <f t="shared" ref="S27" si="10">(S25/S26)*100</f>
        <v>#DIV/0!</v>
      </c>
      <c r="T27" s="348" t="e">
        <f t="shared" ref="T27" si="11">(T25/T26)*100</f>
        <v>#DIV/0!</v>
      </c>
      <c r="U27" s="348" t="e">
        <f t="shared" ref="U27" si="12">(U25/U26)*100</f>
        <v>#DIV/0!</v>
      </c>
      <c r="V27" s="348" t="e">
        <f t="shared" ref="V27" si="13">(V25/V26)*100</f>
        <v>#DIV/0!</v>
      </c>
      <c r="W27" s="348" t="e">
        <f t="shared" ref="W27" si="14">(W25/W26)*100</f>
        <v>#DIV/0!</v>
      </c>
      <c r="X27" s="348" t="e">
        <f t="shared" ref="X27" si="15">(X25/X26)*100</f>
        <v>#DIV/0!</v>
      </c>
      <c r="Y27" s="348" t="e">
        <f t="shared" ref="Y27" si="16">(Y25/Y26)*100</f>
        <v>#DIV/0!</v>
      </c>
      <c r="Z27" s="348" t="e">
        <f t="shared" ref="Z27" si="17">(Z25/Z26)*100</f>
        <v>#DIV/0!</v>
      </c>
      <c r="AA27" s="348" t="e">
        <f t="shared" ref="AA27" si="18">(AA25/AA26)*100</f>
        <v>#DIV/0!</v>
      </c>
      <c r="AB27" s="348" t="e">
        <f t="shared" ref="AB27" si="19">(AB25/AB26)*100</f>
        <v>#DIV/0!</v>
      </c>
      <c r="AC27" s="348" t="e">
        <f t="shared" ref="AC27" si="20">(AC25/AC26)*100</f>
        <v>#DIV/0!</v>
      </c>
      <c r="AD27" s="348" t="e">
        <f t="shared" ref="AD27" si="21">(AD25/AD26)*100</f>
        <v>#DIV/0!</v>
      </c>
      <c r="AE27" s="348" t="e">
        <f t="shared" ref="AE27" si="22">(AE25/AE26)*100</f>
        <v>#DIV/0!</v>
      </c>
      <c r="AF27" s="348" t="e">
        <f t="shared" ref="AF27" si="23">(AF25/AF26)*100</f>
        <v>#DIV/0!</v>
      </c>
      <c r="AG27" s="348" t="e">
        <f t="shared" ref="AG27" si="24">(AG25/AG26)*100</f>
        <v>#DIV/0!</v>
      </c>
      <c r="AH27" s="348" t="e">
        <f t="shared" ref="AH27" si="25">(AH25/AH26)*100</f>
        <v>#DIV/0!</v>
      </c>
      <c r="AI27" s="348" t="e">
        <f t="shared" ref="AI27" si="26">(AI25/AI26)*100</f>
        <v>#DIV/0!</v>
      </c>
      <c r="AJ27" s="348" t="e">
        <f t="shared" ref="AJ27" si="27">(AJ25/AJ26)*100</f>
        <v>#DIV/0!</v>
      </c>
      <c r="AK27" s="69"/>
    </row>
    <row r="28" spans="1:38" ht="81" customHeight="1" x14ac:dyDescent="0.2">
      <c r="A28" s="893" t="s">
        <v>655</v>
      </c>
      <c r="B28" s="894"/>
      <c r="C28" s="894"/>
      <c r="D28" s="895"/>
      <c r="E28" s="68"/>
      <c r="F28" s="950" t="s">
        <v>656</v>
      </c>
      <c r="G28" s="978"/>
      <c r="H28" s="979"/>
      <c r="I28" s="980" t="s">
        <v>653</v>
      </c>
      <c r="J28" s="980" t="s">
        <v>656</v>
      </c>
      <c r="K28" s="981" t="s">
        <v>654</v>
      </c>
      <c r="L28" s="982"/>
      <c r="M28" s="982"/>
      <c r="N28" s="983"/>
      <c r="O28" s="73"/>
      <c r="P28" s="980" t="s">
        <v>653</v>
      </c>
      <c r="Q28" s="980" t="s">
        <v>656</v>
      </c>
      <c r="R28" s="980" t="s">
        <v>656</v>
      </c>
      <c r="S28" s="980" t="s">
        <v>656</v>
      </c>
      <c r="T28" s="980" t="s">
        <v>656</v>
      </c>
      <c r="U28" s="980" t="s">
        <v>656</v>
      </c>
      <c r="V28" s="980" t="s">
        <v>656</v>
      </c>
      <c r="W28" s="980" t="s">
        <v>656</v>
      </c>
      <c r="X28" s="980" t="s">
        <v>656</v>
      </c>
      <c r="Y28" s="980" t="s">
        <v>656</v>
      </c>
      <c r="Z28" s="980" t="s">
        <v>656</v>
      </c>
      <c r="AA28" s="980" t="s">
        <v>656</v>
      </c>
      <c r="AB28" s="980" t="s">
        <v>656</v>
      </c>
      <c r="AC28" s="980" t="s">
        <v>656</v>
      </c>
      <c r="AD28" s="980" t="s">
        <v>656</v>
      </c>
      <c r="AE28" s="980" t="s">
        <v>656</v>
      </c>
      <c r="AF28" s="980" t="s">
        <v>656</v>
      </c>
      <c r="AG28" s="980" t="s">
        <v>656</v>
      </c>
      <c r="AH28" s="980" t="s">
        <v>656</v>
      </c>
      <c r="AI28" s="980" t="s">
        <v>656</v>
      </c>
      <c r="AJ28" s="980" t="s">
        <v>656</v>
      </c>
      <c r="AK28" s="69"/>
    </row>
    <row r="29" spans="1:38" ht="23.45" customHeight="1" x14ac:dyDescent="0.2">
      <c r="A29" s="896" t="s">
        <v>227</v>
      </c>
      <c r="B29" s="897"/>
      <c r="C29" s="897"/>
      <c r="D29" s="898"/>
      <c r="E29" s="68"/>
      <c r="F29" s="351">
        <v>0</v>
      </c>
      <c r="G29" s="351">
        <v>0</v>
      </c>
      <c r="H29" s="351">
        <v>0</v>
      </c>
      <c r="I29" s="351">
        <v>1</v>
      </c>
      <c r="J29" s="351">
        <v>0</v>
      </c>
      <c r="K29" s="351">
        <v>1</v>
      </c>
      <c r="L29" s="351">
        <v>1</v>
      </c>
      <c r="M29" s="351">
        <v>1</v>
      </c>
      <c r="N29" s="351">
        <v>1</v>
      </c>
      <c r="O29" s="351"/>
      <c r="P29" s="351">
        <v>1</v>
      </c>
      <c r="Q29" s="351">
        <v>0</v>
      </c>
      <c r="R29" s="351">
        <v>0</v>
      </c>
      <c r="S29" s="351">
        <v>0</v>
      </c>
      <c r="T29" s="351">
        <v>0</v>
      </c>
      <c r="U29" s="351">
        <v>0</v>
      </c>
      <c r="V29" s="351">
        <v>0</v>
      </c>
      <c r="W29" s="351">
        <v>0</v>
      </c>
      <c r="X29" s="351">
        <v>0</v>
      </c>
      <c r="Y29" s="351">
        <v>0</v>
      </c>
      <c r="Z29" s="351">
        <v>0</v>
      </c>
      <c r="AA29" s="351">
        <v>0</v>
      </c>
      <c r="AB29" s="351">
        <v>0</v>
      </c>
      <c r="AC29" s="351">
        <v>0</v>
      </c>
      <c r="AD29" s="351">
        <v>0</v>
      </c>
      <c r="AE29" s="351">
        <v>0</v>
      </c>
      <c r="AF29" s="351">
        <v>0</v>
      </c>
      <c r="AG29" s="351">
        <v>0</v>
      </c>
      <c r="AH29" s="351">
        <v>0</v>
      </c>
      <c r="AI29" s="351">
        <v>0</v>
      </c>
      <c r="AJ29" s="351">
        <v>0</v>
      </c>
      <c r="AK29" s="69"/>
    </row>
    <row r="30" spans="1:38" ht="126.95" customHeight="1" x14ac:dyDescent="0.2">
      <c r="A30" s="62" t="s">
        <v>630</v>
      </c>
      <c r="B30" s="973" t="s">
        <v>645</v>
      </c>
      <c r="C30" s="63" t="s">
        <v>26</v>
      </c>
      <c r="D30" s="63" t="s">
        <v>73</v>
      </c>
      <c r="E30" s="68"/>
      <c r="F30" s="984">
        <v>296012.90000000002</v>
      </c>
      <c r="G30" s="308">
        <v>27460.3</v>
      </c>
      <c r="H30" s="308">
        <v>375563.4</v>
      </c>
      <c r="I30" s="308">
        <v>87653.7</v>
      </c>
      <c r="J30" s="347">
        <v>7334.4</v>
      </c>
      <c r="K30" s="308">
        <v>33165</v>
      </c>
      <c r="L30" s="308">
        <v>10600.3</v>
      </c>
      <c r="M30" s="308">
        <v>57543.199999999997</v>
      </c>
      <c r="N30" s="347">
        <v>12992.5</v>
      </c>
      <c r="O30" s="308"/>
      <c r="P30" s="308">
        <v>14873.1</v>
      </c>
      <c r="Q30" s="347">
        <v>21794.799999999999</v>
      </c>
      <c r="R30" s="308">
        <v>81862.399999999994</v>
      </c>
      <c r="S30" s="308">
        <v>0</v>
      </c>
      <c r="T30" s="308">
        <v>1005746.2</v>
      </c>
      <c r="U30" s="308">
        <v>0</v>
      </c>
      <c r="V30" s="308">
        <v>58010.400000000001</v>
      </c>
      <c r="W30" s="308">
        <v>300851.7</v>
      </c>
      <c r="X30" s="308">
        <v>12209.7</v>
      </c>
      <c r="Y30" s="308">
        <v>45190.8</v>
      </c>
      <c r="Z30" s="308">
        <v>59802.8</v>
      </c>
      <c r="AA30" s="308">
        <v>7675.9</v>
      </c>
      <c r="AB30" s="308">
        <v>9242.7000000000007</v>
      </c>
      <c r="AC30" s="308">
        <v>140222.5</v>
      </c>
      <c r="AD30" s="308">
        <v>12414.1</v>
      </c>
      <c r="AE30" s="308">
        <v>11962.5</v>
      </c>
      <c r="AF30" s="308">
        <v>11731.9</v>
      </c>
      <c r="AG30" s="308">
        <v>11516.2</v>
      </c>
      <c r="AH30" s="308">
        <v>33021.9</v>
      </c>
      <c r="AI30" s="308">
        <v>18232.2</v>
      </c>
      <c r="AJ30" s="308">
        <v>13378.2</v>
      </c>
      <c r="AK30" s="69"/>
    </row>
    <row r="31" spans="1:38" ht="122.45" customHeight="1" x14ac:dyDescent="0.2">
      <c r="A31" s="62" t="s">
        <v>631</v>
      </c>
      <c r="B31" s="973" t="s">
        <v>644</v>
      </c>
      <c r="C31" s="63" t="s">
        <v>26</v>
      </c>
      <c r="D31" s="63" t="s">
        <v>73</v>
      </c>
      <c r="E31" s="68"/>
      <c r="F31" s="976">
        <v>389444.4</v>
      </c>
      <c r="G31" s="347">
        <v>29404.3</v>
      </c>
      <c r="H31" s="347">
        <v>482379</v>
      </c>
      <c r="I31" s="347">
        <v>175591.3</v>
      </c>
      <c r="J31" s="347">
        <v>7334.4</v>
      </c>
      <c r="K31" s="347">
        <v>43808.4</v>
      </c>
      <c r="L31" s="347">
        <v>12970.5</v>
      </c>
      <c r="M31" s="347">
        <v>96077.8</v>
      </c>
      <c r="N31" s="347">
        <v>12992.5</v>
      </c>
      <c r="O31" s="308"/>
      <c r="P31" s="347">
        <v>51208.5</v>
      </c>
      <c r="Q31" s="347">
        <v>21794.799999999999</v>
      </c>
      <c r="R31" s="347">
        <v>1136949</v>
      </c>
      <c r="S31" s="347">
        <v>99672.4</v>
      </c>
      <c r="T31" s="347">
        <v>2447950.1</v>
      </c>
      <c r="U31" s="347">
        <v>102648.3</v>
      </c>
      <c r="V31" s="347">
        <v>802059</v>
      </c>
      <c r="W31" s="347">
        <v>341963</v>
      </c>
      <c r="X31" s="347">
        <v>14880.9</v>
      </c>
      <c r="Y31" s="347">
        <v>102509.4</v>
      </c>
      <c r="Z31" s="347">
        <v>59810.9</v>
      </c>
      <c r="AA31" s="347">
        <v>7675.9</v>
      </c>
      <c r="AB31" s="347">
        <v>9242.7000000000007</v>
      </c>
      <c r="AC31" s="347">
        <v>201688.3</v>
      </c>
      <c r="AD31" s="347">
        <v>13016.9</v>
      </c>
      <c r="AE31" s="347">
        <v>12565.4</v>
      </c>
      <c r="AF31" s="347">
        <v>12496.7</v>
      </c>
      <c r="AG31" s="347">
        <v>12119</v>
      </c>
      <c r="AH31" s="347">
        <v>33624.9</v>
      </c>
      <c r="AI31" s="347">
        <v>31665.3</v>
      </c>
      <c r="AJ31" s="347">
        <v>25535.1</v>
      </c>
      <c r="AK31" s="69"/>
    </row>
    <row r="32" spans="1:38" ht="102" customHeight="1" x14ac:dyDescent="0.2">
      <c r="A32" s="893" t="s">
        <v>646</v>
      </c>
      <c r="B32" s="899"/>
      <c r="C32" s="899"/>
      <c r="D32" s="899"/>
      <c r="E32" s="900"/>
      <c r="F32" s="349">
        <f t="shared" ref="F32:N32" si="28">F30/F31*100</f>
        <v>76.009027219289834</v>
      </c>
      <c r="G32" s="349">
        <f t="shared" si="28"/>
        <v>93.388722057658242</v>
      </c>
      <c r="H32" s="349">
        <f t="shared" si="28"/>
        <v>77.856498728178465</v>
      </c>
      <c r="I32" s="349">
        <f t="shared" si="28"/>
        <v>49.919158864932378</v>
      </c>
      <c r="J32" s="349">
        <f t="shared" si="28"/>
        <v>100</v>
      </c>
      <c r="K32" s="349">
        <f t="shared" si="28"/>
        <v>75.704659380392798</v>
      </c>
      <c r="L32" s="349">
        <f t="shared" si="28"/>
        <v>81.72622489495393</v>
      </c>
      <c r="M32" s="349">
        <f t="shared" si="28"/>
        <v>59.892295618758965</v>
      </c>
      <c r="N32" s="349">
        <f t="shared" si="28"/>
        <v>100</v>
      </c>
      <c r="O32" s="349"/>
      <c r="P32" s="349">
        <f t="shared" ref="P32:AJ32" si="29">P30/P31*100</f>
        <v>29.044201646211075</v>
      </c>
      <c r="Q32" s="349">
        <f t="shared" si="29"/>
        <v>100</v>
      </c>
      <c r="R32" s="349">
        <f t="shared" si="29"/>
        <v>7.2001822421234376</v>
      </c>
      <c r="S32" s="349">
        <f t="shared" si="29"/>
        <v>0</v>
      </c>
      <c r="T32" s="349">
        <f t="shared" si="29"/>
        <v>41.085241075788268</v>
      </c>
      <c r="U32" s="349">
        <f t="shared" si="29"/>
        <v>0</v>
      </c>
      <c r="V32" s="349">
        <f t="shared" si="29"/>
        <v>7.2326848772970571</v>
      </c>
      <c r="W32" s="349">
        <f t="shared" si="29"/>
        <v>87.977851404976576</v>
      </c>
      <c r="X32" s="349">
        <f t="shared" si="29"/>
        <v>82.049472814144309</v>
      </c>
      <c r="Y32" s="349">
        <f t="shared" si="29"/>
        <v>44.084542490737441</v>
      </c>
      <c r="Z32" s="349">
        <f t="shared" si="29"/>
        <v>99.986457317980509</v>
      </c>
      <c r="AA32" s="349">
        <f t="shared" si="29"/>
        <v>100</v>
      </c>
      <c r="AB32" s="349">
        <f t="shared" si="29"/>
        <v>100</v>
      </c>
      <c r="AC32" s="349">
        <f t="shared" si="29"/>
        <v>69.524360114096851</v>
      </c>
      <c r="AD32" s="349">
        <f t="shared" si="29"/>
        <v>95.369097096851021</v>
      </c>
      <c r="AE32" s="349">
        <f t="shared" si="29"/>
        <v>95.201903640154711</v>
      </c>
      <c r="AF32" s="349">
        <f t="shared" si="29"/>
        <v>93.879984315859375</v>
      </c>
      <c r="AG32" s="349">
        <f t="shared" si="29"/>
        <v>95.025992243584454</v>
      </c>
      <c r="AH32" s="349">
        <f t="shared" si="29"/>
        <v>98.206686116538634</v>
      </c>
      <c r="AI32" s="349">
        <f t="shared" si="29"/>
        <v>57.577853359987117</v>
      </c>
      <c r="AJ32" s="349">
        <f t="shared" si="29"/>
        <v>52.391414171082161</v>
      </c>
    </row>
    <row r="33" spans="1:36" ht="86.25" customHeight="1" x14ac:dyDescent="0.2">
      <c r="A33" s="893" t="s">
        <v>647</v>
      </c>
      <c r="B33" s="894"/>
      <c r="C33" s="894"/>
      <c r="D33" s="895"/>
      <c r="E33" s="352"/>
      <c r="F33" s="350">
        <v>0.5</v>
      </c>
      <c r="G33" s="350">
        <v>1</v>
      </c>
      <c r="H33" s="350">
        <v>1</v>
      </c>
      <c r="I33" s="350">
        <v>0</v>
      </c>
      <c r="J33" s="350">
        <v>1</v>
      </c>
      <c r="K33" s="350">
        <v>0.5</v>
      </c>
      <c r="L33" s="350">
        <v>0.7</v>
      </c>
      <c r="M33" s="350">
        <v>0</v>
      </c>
      <c r="N33" s="350">
        <v>1</v>
      </c>
      <c r="O33" s="350"/>
      <c r="P33" s="350">
        <v>0</v>
      </c>
      <c r="Q33" s="350">
        <v>1</v>
      </c>
      <c r="R33" s="350">
        <v>0</v>
      </c>
      <c r="S33" s="350">
        <v>0</v>
      </c>
      <c r="T33" s="350">
        <v>0</v>
      </c>
      <c r="U33" s="350">
        <v>0</v>
      </c>
      <c r="V33" s="350">
        <v>0</v>
      </c>
      <c r="W33" s="350">
        <v>0.7</v>
      </c>
      <c r="X33" s="350">
        <v>0.7</v>
      </c>
      <c r="Y33" s="350">
        <v>0</v>
      </c>
      <c r="Z33" s="350">
        <v>1</v>
      </c>
      <c r="AA33" s="350">
        <v>1</v>
      </c>
      <c r="AB33" s="350">
        <v>1</v>
      </c>
      <c r="AC33" s="350">
        <v>0.5</v>
      </c>
      <c r="AD33" s="350">
        <v>1</v>
      </c>
      <c r="AE33" s="350">
        <v>1</v>
      </c>
      <c r="AF33" s="350">
        <v>1</v>
      </c>
      <c r="AG33" s="350">
        <v>1</v>
      </c>
      <c r="AH33" s="350">
        <v>1</v>
      </c>
      <c r="AI33" s="350">
        <v>0</v>
      </c>
      <c r="AJ33" s="350">
        <v>0</v>
      </c>
    </row>
    <row r="34" spans="1:36" ht="14.25" x14ac:dyDescent="0.2">
      <c r="A34" s="74"/>
      <c r="B34" s="74"/>
      <c r="C34" s="74"/>
      <c r="D34" s="74"/>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row>
    <row r="35" spans="1:36" ht="14.25" x14ac:dyDescent="0.2">
      <c r="A35" s="74"/>
      <c r="B35" s="74"/>
      <c r="C35" s="74"/>
      <c r="D35" s="74"/>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row>
    <row r="36" spans="1:36" ht="15" x14ac:dyDescent="0.25">
      <c r="A36" s="76" t="s">
        <v>85</v>
      </c>
      <c r="B36" s="76"/>
      <c r="C36" s="76"/>
      <c r="D36" s="76"/>
      <c r="E36" s="76"/>
      <c r="F36" s="76"/>
      <c r="G36" s="76"/>
      <c r="H36" s="77" t="s">
        <v>384</v>
      </c>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row>
    <row r="37" spans="1:36" ht="15" x14ac:dyDescent="0.2">
      <c r="A37" s="78" t="s">
        <v>86</v>
      </c>
      <c r="B37" s="78"/>
      <c r="C37" s="78"/>
      <c r="D37" s="78"/>
      <c r="E37" s="78"/>
      <c r="F37" s="78"/>
      <c r="G37" s="78"/>
      <c r="H37" s="78"/>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row>
    <row r="38" spans="1:36" ht="15" x14ac:dyDescent="0.25">
      <c r="A38" s="79" t="s">
        <v>87</v>
      </c>
      <c r="B38" s="79"/>
      <c r="C38" s="80"/>
      <c r="D38" s="80"/>
      <c r="E38" s="367"/>
      <c r="F38" s="367"/>
      <c r="G38" s="79"/>
      <c r="H38" s="76"/>
      <c r="I38" s="367"/>
      <c r="J38" s="367"/>
      <c r="K38" s="367"/>
      <c r="L38" s="367"/>
      <c r="M38" s="367"/>
      <c r="N38" s="367"/>
      <c r="O38" s="367"/>
      <c r="P38" s="367"/>
      <c r="Q38" s="367"/>
      <c r="R38" s="367"/>
      <c r="S38" s="367"/>
      <c r="T38" s="367"/>
      <c r="U38" s="367"/>
      <c r="V38" s="367"/>
      <c r="W38" s="367"/>
      <c r="X38" s="367"/>
      <c r="Y38" s="367"/>
      <c r="Z38" s="367"/>
      <c r="AA38" s="367"/>
      <c r="AB38" s="367"/>
      <c r="AC38" s="367"/>
      <c r="AD38" s="367"/>
      <c r="AE38" s="367"/>
      <c r="AF38" s="367"/>
      <c r="AG38" s="367"/>
      <c r="AH38" s="367"/>
      <c r="AI38" s="367"/>
      <c r="AJ38" s="367"/>
    </row>
    <row r="39" spans="1:36" ht="15" x14ac:dyDescent="0.25">
      <c r="A39" s="76" t="s">
        <v>421</v>
      </c>
      <c r="B39" s="76"/>
      <c r="C39" s="77" t="s">
        <v>422</v>
      </c>
      <c r="D39" s="77"/>
      <c r="E39" s="76"/>
      <c r="F39" s="76"/>
      <c r="G39" s="76"/>
      <c r="H39" s="7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7"/>
      <c r="AG39" s="367"/>
      <c r="AH39" s="367"/>
      <c r="AI39" s="367"/>
      <c r="AJ39" s="367"/>
    </row>
    <row r="40" spans="1:36" ht="15" x14ac:dyDescent="0.2">
      <c r="A40" s="78" t="s">
        <v>88</v>
      </c>
      <c r="B40" s="78"/>
      <c r="C40" s="78"/>
      <c r="D40" s="78"/>
      <c r="E40" s="78"/>
      <c r="F40" s="78"/>
      <c r="G40" s="78"/>
      <c r="H40" s="78"/>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J40" s="367"/>
    </row>
    <row r="41" spans="1:36" ht="15" x14ac:dyDescent="0.25">
      <c r="A41" s="79" t="s">
        <v>89</v>
      </c>
      <c r="B41" s="79"/>
      <c r="C41" s="80"/>
      <c r="D41" s="80"/>
      <c r="E41" s="367"/>
      <c r="F41" s="367"/>
      <c r="G41" s="79"/>
      <c r="H41" s="76"/>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7"/>
      <c r="AI41" s="367"/>
      <c r="AJ41" s="367"/>
    </row>
    <row r="42" spans="1:36" ht="15" x14ac:dyDescent="0.25">
      <c r="A42" s="79" t="s">
        <v>515</v>
      </c>
      <c r="B42" s="79"/>
      <c r="C42" s="80"/>
      <c r="D42" s="80"/>
      <c r="E42" s="367"/>
      <c r="F42" s="367"/>
      <c r="G42" s="79"/>
      <c r="H42" s="79"/>
      <c r="I42" s="367"/>
      <c r="J42" s="367"/>
      <c r="K42" s="878"/>
      <c r="L42" s="878"/>
      <c r="M42" s="878"/>
      <c r="N42" s="878"/>
      <c r="O42" s="878"/>
      <c r="P42" s="878"/>
      <c r="Q42" s="878"/>
      <c r="R42" s="878"/>
      <c r="S42" s="878"/>
      <c r="T42" s="878"/>
      <c r="U42" s="878"/>
      <c r="V42" s="878"/>
      <c r="W42" s="878"/>
      <c r="X42" s="878"/>
      <c r="Y42" s="878"/>
      <c r="Z42" s="878"/>
      <c r="AA42" s="878"/>
      <c r="AB42" s="878"/>
      <c r="AC42" s="878"/>
      <c r="AD42" s="878"/>
      <c r="AE42" s="878"/>
      <c r="AF42" s="878"/>
      <c r="AG42" s="878"/>
      <c r="AH42" s="878"/>
      <c r="AI42" s="878"/>
      <c r="AJ42" s="878"/>
    </row>
    <row r="44" spans="1:36" x14ac:dyDescent="0.2">
      <c r="A44" s="2" t="s">
        <v>222</v>
      </c>
    </row>
  </sheetData>
  <customSheetViews>
    <customSheetView guid="{EB9C9A86-B58A-443D-8E32-0F9B9A284E4A}" scale="70" fitToPage="1">
      <selection activeCell="F12" sqref="F12:O12"/>
      <pageMargins left="0.70866141732283472" right="0.70866141732283472" top="0.74803149606299213" bottom="0.74803149606299213" header="0.31496062992125984" footer="0.31496062992125984"/>
      <pageSetup paperSize="9" scale="50" fitToHeight="0" orientation="portrait" r:id="rId1"/>
    </customSheetView>
  </customSheetViews>
  <mergeCells count="17">
    <mergeCell ref="A27:E27"/>
    <mergeCell ref="F28:H28"/>
    <mergeCell ref="K28:N28"/>
    <mergeCell ref="AF1:AJ1"/>
    <mergeCell ref="K42:AJ42"/>
    <mergeCell ref="A2:AJ2"/>
    <mergeCell ref="A3:AJ3"/>
    <mergeCell ref="A4:AJ4"/>
    <mergeCell ref="A6:A7"/>
    <mergeCell ref="B6:B7"/>
    <mergeCell ref="C6:C7"/>
    <mergeCell ref="D6:D7"/>
    <mergeCell ref="E6:AJ6"/>
    <mergeCell ref="A33:D33"/>
    <mergeCell ref="A29:D29"/>
    <mergeCell ref="A28:D28"/>
    <mergeCell ref="A32:E32"/>
  </mergeCells>
  <pageMargins left="0.19685039370078741" right="0.19685039370078741" top="0.62992125984251968" bottom="0.39370078740157483" header="0.31496062992125984" footer="0.31496062992125984"/>
  <pageSetup paperSize="9" scale="26"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57"/>
  <sheetViews>
    <sheetView topLeftCell="A45" zoomScale="80" zoomScaleNormal="80" workbookViewId="0">
      <selection activeCell="AI23" sqref="AI23"/>
    </sheetView>
  </sheetViews>
  <sheetFormatPr defaultColWidth="8.85546875" defaultRowHeight="12.75" x14ac:dyDescent="0.2"/>
  <cols>
    <col min="1" max="1" width="6.140625" style="43" customWidth="1"/>
    <col min="2" max="2" width="27.7109375" style="43" customWidth="1"/>
    <col min="3" max="3" width="15" style="43" customWidth="1"/>
    <col min="4" max="4" width="16.140625" style="43" customWidth="1"/>
    <col min="5" max="5" width="15.28515625" style="43" customWidth="1"/>
    <col min="6" max="6" width="14.140625" style="43" customWidth="1"/>
    <col min="7" max="7" width="14.5703125" style="43" customWidth="1"/>
    <col min="8" max="8" width="15.28515625" style="43" customWidth="1"/>
    <col min="9" max="9" width="14.5703125" style="43" customWidth="1"/>
    <col min="10" max="11" width="14.140625" style="43" customWidth="1"/>
    <col min="12" max="12" width="14.28515625" style="43" customWidth="1"/>
    <col min="13" max="13" width="14.7109375" style="43" customWidth="1"/>
    <col min="14" max="14" width="17" style="43" customWidth="1"/>
    <col min="15" max="15" width="14" style="43" customWidth="1"/>
    <col min="16" max="16" width="12.28515625" style="43" customWidth="1"/>
    <col min="17" max="17" width="13.5703125" style="43" customWidth="1"/>
    <col min="18" max="18" width="15.140625" style="43" customWidth="1"/>
    <col min="19" max="19" width="15.28515625" style="43" customWidth="1"/>
    <col min="20" max="20" width="14.140625" style="43" customWidth="1"/>
    <col min="21" max="21" width="13.42578125" style="43" customWidth="1"/>
    <col min="22" max="22" width="17" style="43" customWidth="1"/>
    <col min="23" max="23" width="14.85546875" style="43" customWidth="1"/>
    <col min="24" max="24" width="13.42578125" style="43" customWidth="1"/>
    <col min="25" max="25" width="14.85546875" style="43" customWidth="1"/>
    <col min="26" max="26" width="17.7109375" style="43" customWidth="1"/>
    <col min="27" max="27" width="17.42578125" style="43" customWidth="1"/>
    <col min="28" max="28" width="16.85546875" style="43" customWidth="1"/>
    <col min="29" max="29" width="15.85546875" style="43" customWidth="1"/>
    <col min="30" max="30" width="16.42578125" style="43" customWidth="1"/>
    <col min="31" max="31" width="15.42578125" style="43" customWidth="1"/>
    <col min="32" max="32" width="15.5703125" style="43" customWidth="1"/>
    <col min="33" max="16384" width="8.85546875" style="43"/>
  </cols>
  <sheetData>
    <row r="2" spans="1:32" ht="24" customHeight="1" x14ac:dyDescent="0.2">
      <c r="A2" s="904" t="s">
        <v>449</v>
      </c>
      <c r="B2" s="904"/>
      <c r="C2" s="904"/>
      <c r="D2" s="904"/>
      <c r="E2" s="904"/>
      <c r="F2" s="904"/>
      <c r="G2" s="904"/>
      <c r="H2" s="904"/>
      <c r="I2" s="904"/>
      <c r="J2" s="904"/>
      <c r="K2" s="904"/>
      <c r="L2" s="904"/>
    </row>
    <row r="3" spans="1:32" ht="20.25" x14ac:dyDescent="0.3">
      <c r="A3" s="759" t="s">
        <v>212</v>
      </c>
      <c r="B3" s="759"/>
      <c r="C3" s="759"/>
      <c r="D3" s="759"/>
      <c r="E3" s="759"/>
      <c r="F3" s="759"/>
      <c r="G3" s="759"/>
      <c r="H3" s="759"/>
      <c r="I3" s="759"/>
      <c r="J3" s="759"/>
      <c r="K3" s="759"/>
      <c r="L3" s="759"/>
    </row>
    <row r="4" spans="1:32" ht="17.649999999999999" customHeight="1" x14ac:dyDescent="0.2">
      <c r="A4" s="10"/>
      <c r="B4" s="10"/>
      <c r="C4" s="10"/>
      <c r="D4" s="10"/>
      <c r="E4" s="10"/>
      <c r="F4" s="10"/>
      <c r="G4" s="10"/>
      <c r="H4" s="10"/>
      <c r="I4" s="10"/>
      <c r="J4" s="10"/>
      <c r="K4" s="10"/>
      <c r="L4" s="10"/>
    </row>
    <row r="5" spans="1:32" ht="12" customHeight="1" x14ac:dyDescent="0.2">
      <c r="A5" s="10"/>
      <c r="B5" s="10"/>
      <c r="C5" s="10"/>
      <c r="D5" s="10"/>
      <c r="E5" s="10"/>
      <c r="F5" s="10"/>
      <c r="G5" s="10"/>
      <c r="H5" s="10"/>
      <c r="I5" s="10"/>
      <c r="J5" s="10"/>
      <c r="K5" s="10"/>
      <c r="L5" s="10"/>
    </row>
    <row r="6" spans="1:32" ht="13.9" customHeight="1" x14ac:dyDescent="0.2">
      <c r="A6" s="10"/>
      <c r="B6" s="10" t="s">
        <v>662</v>
      </c>
      <c r="C6" s="10"/>
      <c r="D6" s="10"/>
      <c r="E6" s="10"/>
      <c r="F6" s="10"/>
      <c r="G6" s="10"/>
      <c r="H6" s="10"/>
      <c r="I6" s="10"/>
      <c r="J6" s="10"/>
      <c r="K6" s="10"/>
      <c r="L6" s="10"/>
    </row>
    <row r="7" spans="1:32" x14ac:dyDescent="0.2">
      <c r="A7" s="10" t="s">
        <v>26</v>
      </c>
      <c r="B7" s="10"/>
      <c r="C7" s="10"/>
      <c r="D7" s="10"/>
      <c r="E7" s="10"/>
      <c r="F7" s="10"/>
      <c r="G7" s="10"/>
      <c r="H7" s="10"/>
      <c r="I7" s="10"/>
      <c r="J7" s="10"/>
      <c r="K7" s="10"/>
      <c r="L7" s="10"/>
    </row>
    <row r="8" spans="1:32" ht="132" customHeight="1" x14ac:dyDescent="0.2">
      <c r="A8" s="207"/>
      <c r="B8" s="45" t="s">
        <v>0</v>
      </c>
      <c r="C8" s="262" t="s">
        <v>268</v>
      </c>
      <c r="D8" s="231" t="s">
        <v>292</v>
      </c>
      <c r="E8" s="231" t="s">
        <v>291</v>
      </c>
      <c r="F8" s="221" t="s">
        <v>271</v>
      </c>
      <c r="G8" s="231" t="s">
        <v>320</v>
      </c>
      <c r="H8" s="232" t="s">
        <v>293</v>
      </c>
      <c r="I8" s="221" t="s">
        <v>294</v>
      </c>
      <c r="J8" s="232" t="s">
        <v>295</v>
      </c>
      <c r="K8" s="232" t="s">
        <v>290</v>
      </c>
      <c r="L8" s="221" t="s">
        <v>296</v>
      </c>
      <c r="M8" s="221" t="s">
        <v>282</v>
      </c>
      <c r="N8" s="232" t="s">
        <v>297</v>
      </c>
      <c r="O8" s="221" t="s">
        <v>283</v>
      </c>
      <c r="P8" s="221" t="s">
        <v>298</v>
      </c>
      <c r="Q8" s="221" t="s">
        <v>281</v>
      </c>
      <c r="R8" s="231" t="s">
        <v>299</v>
      </c>
      <c r="S8" s="221" t="s">
        <v>269</v>
      </c>
      <c r="T8" s="221" t="s">
        <v>286</v>
      </c>
      <c r="U8" s="231" t="s">
        <v>300</v>
      </c>
      <c r="V8" s="221" t="s">
        <v>270</v>
      </c>
      <c r="W8" s="221" t="s">
        <v>274</v>
      </c>
      <c r="X8" s="231" t="s">
        <v>301</v>
      </c>
      <c r="Y8" s="221" t="s">
        <v>275</v>
      </c>
      <c r="Z8" s="221" t="s">
        <v>276</v>
      </c>
      <c r="AA8" s="221" t="s">
        <v>277</v>
      </c>
      <c r="AB8" s="221" t="s">
        <v>278</v>
      </c>
      <c r="AC8" s="221" t="s">
        <v>279</v>
      </c>
      <c r="AD8" s="221" t="s">
        <v>280</v>
      </c>
      <c r="AE8" s="221" t="s">
        <v>272</v>
      </c>
      <c r="AF8" s="262" t="s">
        <v>273</v>
      </c>
    </row>
    <row r="9" spans="1:32" ht="75.599999999999994" customHeight="1" x14ac:dyDescent="0.2">
      <c r="A9" s="533">
        <v>1</v>
      </c>
      <c r="B9" s="45" t="s">
        <v>665</v>
      </c>
      <c r="C9" s="192">
        <v>21703.03</v>
      </c>
      <c r="D9" s="192">
        <v>183517.78</v>
      </c>
      <c r="E9" s="192">
        <v>783007.59</v>
      </c>
      <c r="F9" s="192">
        <v>420982.57</v>
      </c>
      <c r="G9" s="192" t="s">
        <v>396</v>
      </c>
      <c r="H9" s="192" t="s">
        <v>396</v>
      </c>
      <c r="I9" s="192" t="s">
        <v>396</v>
      </c>
      <c r="J9" s="192" t="s">
        <v>396</v>
      </c>
      <c r="K9" s="192" t="s">
        <v>396</v>
      </c>
      <c r="L9" s="192" t="s">
        <v>396</v>
      </c>
      <c r="M9" s="192">
        <v>0</v>
      </c>
      <c r="N9" s="192">
        <v>743764.5</v>
      </c>
      <c r="O9" s="192">
        <v>0</v>
      </c>
      <c r="P9" s="192">
        <v>1680.87</v>
      </c>
      <c r="Q9" s="192">
        <v>102648.3</v>
      </c>
      <c r="R9" s="192">
        <v>763160.66</v>
      </c>
      <c r="S9" s="192">
        <v>0</v>
      </c>
      <c r="T9" s="192">
        <v>0</v>
      </c>
      <c r="U9" s="192">
        <v>13698</v>
      </c>
      <c r="V9" s="192">
        <v>61535.58</v>
      </c>
      <c r="W9" s="192" t="s">
        <v>396</v>
      </c>
      <c r="X9" s="192" t="s">
        <v>396</v>
      </c>
      <c r="Y9" s="192" t="s">
        <v>396</v>
      </c>
      <c r="Z9" s="192">
        <v>13168.62</v>
      </c>
      <c r="AA9" s="192">
        <v>12345.57</v>
      </c>
      <c r="AB9" s="192">
        <v>12112.53</v>
      </c>
      <c r="AC9" s="192">
        <v>12052.24</v>
      </c>
      <c r="AD9" s="192">
        <v>32372.42</v>
      </c>
      <c r="AE9" s="192">
        <v>31062.33</v>
      </c>
      <c r="AF9" s="192">
        <v>25537.42</v>
      </c>
    </row>
    <row r="10" spans="1:32" ht="75.75" customHeight="1" x14ac:dyDescent="0.2">
      <c r="A10" s="533">
        <v>2</v>
      </c>
      <c r="B10" s="45" t="s">
        <v>666</v>
      </c>
      <c r="C10" s="192">
        <v>127.26</v>
      </c>
      <c r="D10" s="192">
        <v>183542.71</v>
      </c>
      <c r="E10" s="192">
        <v>687817.87</v>
      </c>
      <c r="F10" s="192">
        <v>107058.45</v>
      </c>
      <c r="G10" s="192" t="s">
        <v>396</v>
      </c>
      <c r="H10" s="192" t="s">
        <v>396</v>
      </c>
      <c r="I10" s="192" t="s">
        <v>396</v>
      </c>
      <c r="J10" s="192" t="s">
        <v>396</v>
      </c>
      <c r="K10" s="192" t="s">
        <v>396</v>
      </c>
      <c r="L10" s="192" t="s">
        <v>396</v>
      </c>
      <c r="M10" s="192">
        <v>0</v>
      </c>
      <c r="N10" s="192">
        <v>799559.72</v>
      </c>
      <c r="O10" s="192">
        <v>0</v>
      </c>
      <c r="P10" s="192">
        <v>2456.67</v>
      </c>
      <c r="Q10" s="192">
        <v>108835.34</v>
      </c>
      <c r="R10" s="192">
        <v>762178.51</v>
      </c>
      <c r="S10" s="192">
        <v>0</v>
      </c>
      <c r="T10" s="192">
        <v>0</v>
      </c>
      <c r="U10" s="192">
        <v>26011.52</v>
      </c>
      <c r="V10" s="192">
        <v>24626.68</v>
      </c>
      <c r="W10" s="192" t="s">
        <v>396</v>
      </c>
      <c r="X10" s="192" t="s">
        <v>396</v>
      </c>
      <c r="Y10" s="192" t="s">
        <v>396</v>
      </c>
      <c r="Z10" s="192">
        <v>32.61</v>
      </c>
      <c r="AA10" s="192">
        <v>15.1</v>
      </c>
      <c r="AB10" s="192">
        <v>68.430000000000007</v>
      </c>
      <c r="AC10" s="192">
        <v>26.18</v>
      </c>
      <c r="AD10" s="192">
        <v>95.16</v>
      </c>
      <c r="AE10" s="192">
        <v>69.239999999999995</v>
      </c>
      <c r="AF10" s="192">
        <v>22.51</v>
      </c>
    </row>
    <row r="11" spans="1:32" x14ac:dyDescent="0.2">
      <c r="A11" s="533"/>
      <c r="B11" s="45" t="s">
        <v>61</v>
      </c>
      <c r="C11" s="398">
        <f>C10/('приложение 9'!D17)*100</f>
        <v>1.8484465554054645</v>
      </c>
      <c r="D11" s="398">
        <f>D10/('приложение 9'!D18)*100</f>
        <v>580.7339591777328</v>
      </c>
      <c r="E11" s="398">
        <f>E10/('приложение 9'!D19)*100</f>
        <v>10265938.358208954</v>
      </c>
      <c r="F11" s="398">
        <f>F10/('приложение 9'!D20)*100</f>
        <v>7586.8790305435487</v>
      </c>
      <c r="G11" s="192" t="s">
        <v>396</v>
      </c>
      <c r="H11" s="192" t="s">
        <v>396</v>
      </c>
      <c r="I11" s="192" t="s">
        <v>396</v>
      </c>
      <c r="J11" s="192" t="s">
        <v>396</v>
      </c>
      <c r="K11" s="192" t="s">
        <v>396</v>
      </c>
      <c r="L11" s="192" t="s">
        <v>396</v>
      </c>
      <c r="M11" s="399" t="e">
        <f>M10/('приложение 9'!D27)*100</f>
        <v>#DIV/0!</v>
      </c>
      <c r="N11" s="399">
        <f>N10/('приложение 9'!D28)*100</f>
        <v>6137.8531784719071</v>
      </c>
      <c r="O11" s="399" t="e">
        <f>O10/('приложение 9'!D29)*100</f>
        <v>#DIV/0!</v>
      </c>
      <c r="P11" s="399">
        <f>P10/('приложение 9'!D30)*100</f>
        <v>12.427509105625253</v>
      </c>
      <c r="Q11" s="399" t="e">
        <f>Q10/('приложение 9'!D31)*100</f>
        <v>#DIV/0!</v>
      </c>
      <c r="R11" s="399" t="e">
        <f>R10/('приложение 9'!D32)*100</f>
        <v>#DIV/0!</v>
      </c>
      <c r="S11" s="399">
        <f>S10/('приложение 9'!D33)*100</f>
        <v>0</v>
      </c>
      <c r="T11" s="399" t="e">
        <f>T10/('приложение 9'!D34)*100</f>
        <v>#DIV/0!</v>
      </c>
      <c r="U11" s="399">
        <f>U10/('приложение 9'!D35)*100</f>
        <v>1553.1120133747313</v>
      </c>
      <c r="V11" s="399">
        <f>V10/('приложение 9'!D36)*100</f>
        <v>3843.114856429464</v>
      </c>
      <c r="W11" s="192" t="s">
        <v>396</v>
      </c>
      <c r="X11" s="192" t="s">
        <v>396</v>
      </c>
      <c r="Y11" s="192" t="s">
        <v>396</v>
      </c>
      <c r="Z11" s="399" t="e">
        <f>Z10/('приложение 9'!D40)*100</f>
        <v>#DIV/0!</v>
      </c>
      <c r="AA11" s="399" t="e">
        <f>AA10/('приложение 9'!D41)*100</f>
        <v>#DIV/0!</v>
      </c>
      <c r="AB11" s="399">
        <f>AB10/('приложение 9'!D42)*100</f>
        <v>760.33333333333348</v>
      </c>
      <c r="AC11" s="399" t="e">
        <f>AC10/('приложение 9'!D43)*100</f>
        <v>#DIV/0!</v>
      </c>
      <c r="AD11" s="399" t="e">
        <f>AD10/('приложение 9'!D44)*100</f>
        <v>#DIV/0!</v>
      </c>
      <c r="AE11" s="399">
        <f>AE10/('приложение 9'!D45)*100</f>
        <v>1033.4328358208954</v>
      </c>
      <c r="AF11" s="399">
        <f>AF10/('приложение 9'!D46)*100</f>
        <v>3215.7142857142858</v>
      </c>
    </row>
    <row r="12" spans="1:32" ht="64.5" customHeight="1" x14ac:dyDescent="0.2">
      <c r="A12" s="42"/>
      <c r="B12" s="486" t="s">
        <v>668</v>
      </c>
      <c r="C12" s="399">
        <v>0.2</v>
      </c>
      <c r="D12" s="399">
        <v>0</v>
      </c>
      <c r="E12" s="399">
        <v>0.5</v>
      </c>
      <c r="F12" s="399">
        <v>0</v>
      </c>
      <c r="G12" s="192" t="s">
        <v>396</v>
      </c>
      <c r="H12" s="192" t="s">
        <v>396</v>
      </c>
      <c r="I12" s="192" t="s">
        <v>396</v>
      </c>
      <c r="J12" s="192" t="s">
        <v>396</v>
      </c>
      <c r="K12" s="192" t="s">
        <v>396</v>
      </c>
      <c r="L12" s="192" t="s">
        <v>396</v>
      </c>
      <c r="M12" s="400">
        <v>0.5</v>
      </c>
      <c r="N12" s="400">
        <v>0</v>
      </c>
      <c r="O12" s="400">
        <v>0.5</v>
      </c>
      <c r="P12" s="400">
        <v>0.2</v>
      </c>
      <c r="Q12" s="481" t="s">
        <v>671</v>
      </c>
      <c r="R12" s="481" t="s">
        <v>671</v>
      </c>
      <c r="S12" s="400">
        <v>0.5</v>
      </c>
      <c r="T12" s="481">
        <v>0.5</v>
      </c>
      <c r="U12" s="400">
        <v>0</v>
      </c>
      <c r="V12" s="400">
        <v>0</v>
      </c>
      <c r="W12" s="192" t="s">
        <v>396</v>
      </c>
      <c r="X12" s="192" t="s">
        <v>396</v>
      </c>
      <c r="Y12" s="192" t="s">
        <v>396</v>
      </c>
      <c r="Z12" s="481" t="s">
        <v>671</v>
      </c>
      <c r="AA12" s="481" t="s">
        <v>671</v>
      </c>
      <c r="AB12" s="400">
        <v>0</v>
      </c>
      <c r="AC12" s="481" t="s">
        <v>671</v>
      </c>
      <c r="AD12" s="481" t="s">
        <v>671</v>
      </c>
      <c r="AE12" s="400">
        <v>0</v>
      </c>
      <c r="AF12" s="400">
        <v>0</v>
      </c>
    </row>
    <row r="13" spans="1:32" x14ac:dyDescent="0.2">
      <c r="A13" s="42"/>
      <c r="B13" s="401" t="s">
        <v>62</v>
      </c>
      <c r="C13" s="399">
        <f>C10/C9*100</f>
        <v>0.5863697373131771</v>
      </c>
      <c r="D13" s="399">
        <f>D10/D9*100</f>
        <v>100.0135845148083</v>
      </c>
      <c r="E13" s="399">
        <f>E10/E9*100</f>
        <v>87.843065480374207</v>
      </c>
      <c r="F13" s="399">
        <f>F10/F9*100</f>
        <v>25.430613433710569</v>
      </c>
      <c r="G13" s="192" t="s">
        <v>396</v>
      </c>
      <c r="H13" s="192" t="s">
        <v>396</v>
      </c>
      <c r="I13" s="192" t="s">
        <v>396</v>
      </c>
      <c r="J13" s="192" t="s">
        <v>396</v>
      </c>
      <c r="K13" s="192" t="s">
        <v>396</v>
      </c>
      <c r="L13" s="192" t="s">
        <v>396</v>
      </c>
      <c r="M13" s="399" t="s">
        <v>167</v>
      </c>
      <c r="N13" s="399">
        <f>N10/N9*100</f>
        <v>107.5017320670723</v>
      </c>
      <c r="O13" s="399" t="s">
        <v>167</v>
      </c>
      <c r="P13" s="399">
        <f>P10/P9*100</f>
        <v>146.15466990308593</v>
      </c>
      <c r="Q13" s="399">
        <f>Q10/Q9*100</f>
        <v>106.02741594356652</v>
      </c>
      <c r="R13" s="399">
        <f>R10/R9*100</f>
        <v>99.871304949078478</v>
      </c>
      <c r="S13" s="399" t="s">
        <v>167</v>
      </c>
      <c r="T13" s="399" t="s">
        <v>167</v>
      </c>
      <c r="U13" s="399">
        <f>U10/U9*100</f>
        <v>189.89283107022922</v>
      </c>
      <c r="V13" s="399">
        <f>V10/V9*100</f>
        <v>40.020228947220453</v>
      </c>
      <c r="W13" s="192" t="s">
        <v>396</v>
      </c>
      <c r="X13" s="192" t="s">
        <v>396</v>
      </c>
      <c r="Y13" s="192" t="s">
        <v>396</v>
      </c>
      <c r="Z13" s="399">
        <f t="shared" ref="Z13:AF13" si="0">Z10/Z9*100</f>
        <v>0.24763414845291304</v>
      </c>
      <c r="AA13" s="399">
        <f t="shared" si="0"/>
        <v>0.12231108000683645</v>
      </c>
      <c r="AB13" s="399">
        <f t="shared" si="0"/>
        <v>0.56495216110919855</v>
      </c>
      <c r="AC13" s="399">
        <f t="shared" si="0"/>
        <v>0.21722103111122912</v>
      </c>
      <c r="AD13" s="399">
        <f t="shared" si="0"/>
        <v>0.29395392744811788</v>
      </c>
      <c r="AE13" s="399">
        <f t="shared" si="0"/>
        <v>0.22290665252735381</v>
      </c>
      <c r="AF13" s="399">
        <f t="shared" si="0"/>
        <v>8.8145161100847316E-2</v>
      </c>
    </row>
    <row r="14" spans="1:32" ht="77.25" customHeight="1" x14ac:dyDescent="0.2">
      <c r="A14" s="42"/>
      <c r="B14" s="486" t="s">
        <v>669</v>
      </c>
      <c r="C14" s="399">
        <v>0.5</v>
      </c>
      <c r="D14" s="399">
        <v>0</v>
      </c>
      <c r="E14" s="399">
        <v>0.5</v>
      </c>
      <c r="F14" s="399">
        <v>0.5</v>
      </c>
      <c r="G14" s="192" t="s">
        <v>396</v>
      </c>
      <c r="H14" s="192" t="s">
        <v>396</v>
      </c>
      <c r="I14" s="192" t="s">
        <v>396</v>
      </c>
      <c r="J14" s="192" t="s">
        <v>396</v>
      </c>
      <c r="K14" s="192" t="s">
        <v>396</v>
      </c>
      <c r="L14" s="192" t="s">
        <v>396</v>
      </c>
      <c r="M14" s="399">
        <v>0.5</v>
      </c>
      <c r="N14" s="399">
        <v>0</v>
      </c>
      <c r="O14" s="399">
        <v>0.5</v>
      </c>
      <c r="P14" s="399">
        <v>0</v>
      </c>
      <c r="Q14" s="399">
        <v>0</v>
      </c>
      <c r="R14" s="399">
        <v>0.5</v>
      </c>
      <c r="S14" s="399">
        <v>0.5</v>
      </c>
      <c r="T14" s="399">
        <v>0.5</v>
      </c>
      <c r="U14" s="399">
        <v>0</v>
      </c>
      <c r="V14" s="399">
        <v>0.5</v>
      </c>
      <c r="W14" s="192" t="s">
        <v>396</v>
      </c>
      <c r="X14" s="192" t="s">
        <v>396</v>
      </c>
      <c r="Y14" s="192" t="s">
        <v>396</v>
      </c>
      <c r="Z14" s="399">
        <v>0.5</v>
      </c>
      <c r="AA14" s="399">
        <v>0.5</v>
      </c>
      <c r="AB14" s="399">
        <v>0.5</v>
      </c>
      <c r="AC14" s="399">
        <v>0.5</v>
      </c>
      <c r="AD14" s="399">
        <v>0.5</v>
      </c>
      <c r="AE14" s="399">
        <v>0.5</v>
      </c>
      <c r="AF14" s="399">
        <v>0.5</v>
      </c>
    </row>
    <row r="15" spans="1:32" x14ac:dyDescent="0.2">
      <c r="A15" s="42"/>
      <c r="B15" s="401" t="s">
        <v>670</v>
      </c>
      <c r="C15" s="399">
        <f>C12+C14</f>
        <v>0.7</v>
      </c>
      <c r="D15" s="399">
        <f>D12+D14</f>
        <v>0</v>
      </c>
      <c r="E15" s="399">
        <f t="shared" ref="E15:AF15" si="1">E12+E14</f>
        <v>1</v>
      </c>
      <c r="F15" s="399">
        <f t="shared" si="1"/>
        <v>0.5</v>
      </c>
      <c r="G15" s="192" t="s">
        <v>396</v>
      </c>
      <c r="H15" s="192" t="s">
        <v>396</v>
      </c>
      <c r="I15" s="192" t="s">
        <v>396</v>
      </c>
      <c r="J15" s="192" t="s">
        <v>396</v>
      </c>
      <c r="K15" s="192" t="s">
        <v>396</v>
      </c>
      <c r="L15" s="192" t="s">
        <v>396</v>
      </c>
      <c r="M15" s="399">
        <f t="shared" si="1"/>
        <v>1</v>
      </c>
      <c r="N15" s="399">
        <f t="shared" si="1"/>
        <v>0</v>
      </c>
      <c r="O15" s="399">
        <f t="shared" si="1"/>
        <v>1</v>
      </c>
      <c r="P15" s="399">
        <f t="shared" si="1"/>
        <v>0.2</v>
      </c>
      <c r="Q15" s="399">
        <f>0+Q14</f>
        <v>0</v>
      </c>
      <c r="R15" s="399">
        <f>0+0.5</f>
        <v>0.5</v>
      </c>
      <c r="S15" s="399">
        <f t="shared" si="1"/>
        <v>1</v>
      </c>
      <c r="T15" s="399">
        <f>T12+T14</f>
        <v>1</v>
      </c>
      <c r="U15" s="399">
        <f t="shared" si="1"/>
        <v>0</v>
      </c>
      <c r="V15" s="399">
        <f t="shared" si="1"/>
        <v>0.5</v>
      </c>
      <c r="W15" s="192" t="s">
        <v>396</v>
      </c>
      <c r="X15" s="192" t="s">
        <v>396</v>
      </c>
      <c r="Y15" s="192" t="s">
        <v>396</v>
      </c>
      <c r="Z15" s="399">
        <f>0+0.5</f>
        <v>0.5</v>
      </c>
      <c r="AA15" s="399">
        <f>0+0.5</f>
        <v>0.5</v>
      </c>
      <c r="AB15" s="399">
        <f t="shared" si="1"/>
        <v>0.5</v>
      </c>
      <c r="AC15" s="399">
        <f>0+0.5</f>
        <v>0.5</v>
      </c>
      <c r="AD15" s="399">
        <f>0+0.5</f>
        <v>0.5</v>
      </c>
      <c r="AE15" s="399">
        <f t="shared" si="1"/>
        <v>0.5</v>
      </c>
      <c r="AF15" s="399">
        <f t="shared" si="1"/>
        <v>0.5</v>
      </c>
    </row>
    <row r="16" spans="1:32" ht="24.6" customHeight="1" x14ac:dyDescent="0.2">
      <c r="A16" s="43" t="s">
        <v>395</v>
      </c>
      <c r="B16" s="10"/>
      <c r="C16" s="10"/>
      <c r="D16" s="10"/>
      <c r="E16" s="10"/>
      <c r="F16" s="10"/>
      <c r="G16" s="10"/>
      <c r="H16" s="10"/>
      <c r="I16" s="10"/>
      <c r="J16" s="10"/>
      <c r="K16" s="10"/>
      <c r="L16" s="10"/>
      <c r="N16" s="198"/>
    </row>
    <row r="17" spans="1:32" ht="125.25" customHeight="1" x14ac:dyDescent="0.2">
      <c r="A17" s="907" t="s">
        <v>398</v>
      </c>
      <c r="B17" s="907"/>
      <c r="C17" s="907"/>
      <c r="D17" s="907"/>
      <c r="E17" s="907"/>
      <c r="F17" s="907"/>
      <c r="G17" s="907"/>
      <c r="H17" s="907"/>
      <c r="I17" s="907"/>
      <c r="J17" s="907"/>
      <c r="K17" s="907"/>
      <c r="L17" s="907"/>
    </row>
    <row r="18" spans="1:32" ht="21.6" customHeight="1" x14ac:dyDescent="0.2">
      <c r="A18" s="10"/>
      <c r="B18" s="10"/>
      <c r="C18" s="10"/>
      <c r="D18" s="10"/>
      <c r="E18" s="10"/>
      <c r="F18" s="10"/>
      <c r="G18" s="10"/>
      <c r="H18" s="10"/>
      <c r="I18" s="10"/>
      <c r="J18" s="10"/>
      <c r="K18" s="10"/>
      <c r="L18" s="10"/>
    </row>
    <row r="19" spans="1:32" ht="19.5" customHeight="1" x14ac:dyDescent="0.25">
      <c r="A19" s="759" t="s">
        <v>663</v>
      </c>
      <c r="B19" s="759"/>
      <c r="C19" s="759"/>
      <c r="D19" s="759"/>
      <c r="E19" s="759"/>
      <c r="F19" s="759"/>
      <c r="G19" s="759"/>
      <c r="H19" s="759"/>
      <c r="I19" s="759"/>
      <c r="J19" s="759"/>
      <c r="K19" s="759"/>
      <c r="L19" s="759"/>
    </row>
    <row r="20" spans="1:32" ht="15" customHeight="1" x14ac:dyDescent="0.2">
      <c r="A20" s="43" t="s">
        <v>26</v>
      </c>
      <c r="L20" s="10"/>
    </row>
    <row r="21" spans="1:32" ht="123.75" customHeight="1" x14ac:dyDescent="0.2">
      <c r="A21" s="45"/>
      <c r="B21" s="45" t="s">
        <v>0</v>
      </c>
      <c r="C21" s="484" t="s">
        <v>268</v>
      </c>
      <c r="D21" s="483" t="s">
        <v>292</v>
      </c>
      <c r="E21" s="483" t="s">
        <v>291</v>
      </c>
      <c r="F21" s="483" t="s">
        <v>271</v>
      </c>
      <c r="G21" s="483" t="s">
        <v>320</v>
      </c>
      <c r="H21" s="482" t="s">
        <v>293</v>
      </c>
      <c r="I21" s="483" t="s">
        <v>294</v>
      </c>
      <c r="J21" s="482" t="s">
        <v>295</v>
      </c>
      <c r="K21" s="482" t="s">
        <v>290</v>
      </c>
      <c r="L21" s="483" t="s">
        <v>296</v>
      </c>
      <c r="M21" s="484" t="s">
        <v>282</v>
      </c>
      <c r="N21" s="485" t="s">
        <v>297</v>
      </c>
      <c r="O21" s="484" t="s">
        <v>283</v>
      </c>
      <c r="P21" s="484" t="s">
        <v>298</v>
      </c>
      <c r="Q21" s="484" t="s">
        <v>281</v>
      </c>
      <c r="R21" s="484" t="s">
        <v>299</v>
      </c>
      <c r="S21" s="484" t="s">
        <v>269</v>
      </c>
      <c r="T21" s="484" t="s">
        <v>286</v>
      </c>
      <c r="U21" s="484" t="s">
        <v>300</v>
      </c>
      <c r="V21" s="484" t="s">
        <v>270</v>
      </c>
      <c r="W21" s="484" t="s">
        <v>274</v>
      </c>
      <c r="X21" s="484" t="s">
        <v>301</v>
      </c>
      <c r="Y21" s="484" t="s">
        <v>275</v>
      </c>
      <c r="Z21" s="484" t="s">
        <v>276</v>
      </c>
      <c r="AA21" s="484" t="s">
        <v>277</v>
      </c>
      <c r="AB21" s="484" t="s">
        <v>278</v>
      </c>
      <c r="AC21" s="484" t="s">
        <v>279</v>
      </c>
      <c r="AD21" s="484" t="s">
        <v>280</v>
      </c>
      <c r="AE21" s="484" t="s">
        <v>272</v>
      </c>
      <c r="AF21" s="484" t="s">
        <v>273</v>
      </c>
    </row>
    <row r="22" spans="1:32" ht="115.5" customHeight="1" x14ac:dyDescent="0.2">
      <c r="A22" s="533">
        <v>1</v>
      </c>
      <c r="B22" s="45" t="s">
        <v>674</v>
      </c>
      <c r="C22" s="192">
        <v>9.48</v>
      </c>
      <c r="D22" s="192">
        <v>0</v>
      </c>
      <c r="E22" s="192">
        <v>25.23</v>
      </c>
      <c r="F22" s="192">
        <v>11.3</v>
      </c>
      <c r="G22" s="192" t="s">
        <v>396</v>
      </c>
      <c r="H22" s="192" t="s">
        <v>396</v>
      </c>
      <c r="I22" s="192" t="s">
        <v>396</v>
      </c>
      <c r="J22" s="192" t="s">
        <v>396</v>
      </c>
      <c r="K22" s="192" t="s">
        <v>396</v>
      </c>
      <c r="L22" s="192" t="s">
        <v>396</v>
      </c>
      <c r="M22" s="318">
        <v>0</v>
      </c>
      <c r="N22" s="318">
        <v>0</v>
      </c>
      <c r="O22" s="318">
        <v>0</v>
      </c>
      <c r="P22" s="318">
        <v>358.46</v>
      </c>
      <c r="Q22" s="318">
        <v>0</v>
      </c>
      <c r="R22" s="318">
        <v>0</v>
      </c>
      <c r="S22" s="318">
        <v>0</v>
      </c>
      <c r="T22" s="318">
        <v>0</v>
      </c>
      <c r="U22" s="318">
        <v>1.51</v>
      </c>
      <c r="V22" s="318">
        <v>64.33</v>
      </c>
      <c r="W22" s="192" t="s">
        <v>396</v>
      </c>
      <c r="X22" s="192" t="s">
        <v>396</v>
      </c>
      <c r="Y22" s="192" t="s">
        <v>396</v>
      </c>
      <c r="Z22" s="318">
        <v>4.3600000000000003</v>
      </c>
      <c r="AA22" s="318">
        <v>0</v>
      </c>
      <c r="AB22" s="318">
        <v>0</v>
      </c>
      <c r="AC22" s="318">
        <v>0</v>
      </c>
      <c r="AD22" s="318">
        <v>22.15</v>
      </c>
      <c r="AE22" s="318">
        <v>0</v>
      </c>
      <c r="AF22" s="318">
        <v>0</v>
      </c>
    </row>
    <row r="23" spans="1:32" ht="113.25" customHeight="1" x14ac:dyDescent="0.2">
      <c r="A23" s="533">
        <v>2</v>
      </c>
      <c r="B23" s="45" t="s">
        <v>675</v>
      </c>
      <c r="C23" s="192">
        <v>0</v>
      </c>
      <c r="D23" s="192">
        <v>0</v>
      </c>
      <c r="E23" s="192">
        <v>0</v>
      </c>
      <c r="F23" s="192">
        <v>0</v>
      </c>
      <c r="G23" s="192" t="s">
        <v>396</v>
      </c>
      <c r="H23" s="192" t="s">
        <v>396</v>
      </c>
      <c r="I23" s="192" t="s">
        <v>396</v>
      </c>
      <c r="J23" s="192" t="s">
        <v>396</v>
      </c>
      <c r="K23" s="192" t="s">
        <v>396</v>
      </c>
      <c r="L23" s="192" t="s">
        <v>396</v>
      </c>
      <c r="M23" s="192">
        <v>0</v>
      </c>
      <c r="N23" s="192">
        <v>0</v>
      </c>
      <c r="O23" s="318">
        <v>0</v>
      </c>
      <c r="P23" s="318">
        <v>2.97</v>
      </c>
      <c r="Q23" s="192">
        <v>0</v>
      </c>
      <c r="R23" s="192">
        <v>0</v>
      </c>
      <c r="S23" s="318">
        <v>0</v>
      </c>
      <c r="T23" s="192">
        <v>0</v>
      </c>
      <c r="U23" s="192">
        <v>0</v>
      </c>
      <c r="V23" s="318">
        <v>0</v>
      </c>
      <c r="W23" s="192" t="s">
        <v>396</v>
      </c>
      <c r="X23" s="192" t="s">
        <v>396</v>
      </c>
      <c r="Y23" s="192" t="s">
        <v>396</v>
      </c>
      <c r="Z23" s="192">
        <v>0</v>
      </c>
      <c r="AA23" s="192">
        <v>0</v>
      </c>
      <c r="AB23" s="318">
        <v>0</v>
      </c>
      <c r="AC23" s="192">
        <v>0</v>
      </c>
      <c r="AD23" s="192">
        <v>0</v>
      </c>
      <c r="AE23" s="318">
        <v>0</v>
      </c>
      <c r="AF23" s="318">
        <v>0</v>
      </c>
    </row>
    <row r="24" spans="1:32" ht="111.75" customHeight="1" x14ac:dyDescent="0.2">
      <c r="A24" s="533">
        <v>3</v>
      </c>
      <c r="B24" s="45" t="s">
        <v>676</v>
      </c>
      <c r="C24" s="192">
        <v>18.41</v>
      </c>
      <c r="D24" s="192">
        <v>0.21</v>
      </c>
      <c r="E24" s="192">
        <v>8.1300000000000008</v>
      </c>
      <c r="F24" s="192">
        <v>89.68</v>
      </c>
      <c r="G24" s="192" t="s">
        <v>396</v>
      </c>
      <c r="H24" s="192" t="s">
        <v>396</v>
      </c>
      <c r="I24" s="192" t="s">
        <v>396</v>
      </c>
      <c r="J24" s="192" t="s">
        <v>396</v>
      </c>
      <c r="K24" s="192" t="s">
        <v>396</v>
      </c>
      <c r="L24" s="192" t="s">
        <v>396</v>
      </c>
      <c r="M24" s="318">
        <v>0</v>
      </c>
      <c r="N24" s="318">
        <v>0</v>
      </c>
      <c r="O24" s="318">
        <v>0</v>
      </c>
      <c r="P24" s="318">
        <v>237.54</v>
      </c>
      <c r="Q24" s="318">
        <v>0</v>
      </c>
      <c r="R24" s="318">
        <v>0</v>
      </c>
      <c r="S24" s="318">
        <v>0</v>
      </c>
      <c r="T24" s="318">
        <v>0.53</v>
      </c>
      <c r="U24" s="318">
        <v>0</v>
      </c>
      <c r="V24" s="318">
        <v>66279.78</v>
      </c>
      <c r="W24" s="192" t="s">
        <v>396</v>
      </c>
      <c r="X24" s="192" t="s">
        <v>396</v>
      </c>
      <c r="Y24" s="192" t="s">
        <v>396</v>
      </c>
      <c r="Z24" s="318">
        <v>13.43</v>
      </c>
      <c r="AA24" s="318">
        <v>4.6900000000000004</v>
      </c>
      <c r="AB24" s="318">
        <v>5.49</v>
      </c>
      <c r="AC24" s="318">
        <v>6.17</v>
      </c>
      <c r="AD24" s="318">
        <v>75.62</v>
      </c>
      <c r="AE24" s="318">
        <v>7.99</v>
      </c>
      <c r="AF24" s="318">
        <v>13.8</v>
      </c>
    </row>
    <row r="25" spans="1:32" ht="117" customHeight="1" x14ac:dyDescent="0.2">
      <c r="A25" s="533">
        <v>4</v>
      </c>
      <c r="B25" s="45" t="s">
        <v>677</v>
      </c>
      <c r="C25" s="192">
        <v>0</v>
      </c>
      <c r="D25" s="192">
        <v>0</v>
      </c>
      <c r="E25" s="192">
        <v>0</v>
      </c>
      <c r="F25" s="192">
        <v>0</v>
      </c>
      <c r="G25" s="192" t="s">
        <v>396</v>
      </c>
      <c r="H25" s="192" t="s">
        <v>396</v>
      </c>
      <c r="I25" s="192" t="s">
        <v>396</v>
      </c>
      <c r="J25" s="192" t="s">
        <v>396</v>
      </c>
      <c r="K25" s="192" t="s">
        <v>396</v>
      </c>
      <c r="L25" s="192" t="s">
        <v>396</v>
      </c>
      <c r="M25" s="318">
        <v>0</v>
      </c>
      <c r="N25" s="318">
        <v>0</v>
      </c>
      <c r="O25" s="318">
        <v>0</v>
      </c>
      <c r="P25" s="318">
        <v>1.82</v>
      </c>
      <c r="Q25" s="192">
        <v>0</v>
      </c>
      <c r="R25" s="192">
        <v>0</v>
      </c>
      <c r="S25" s="318">
        <v>0</v>
      </c>
      <c r="T25" s="192">
        <v>0</v>
      </c>
      <c r="U25" s="192">
        <v>0</v>
      </c>
      <c r="V25" s="318">
        <v>0</v>
      </c>
      <c r="W25" s="192" t="s">
        <v>396</v>
      </c>
      <c r="X25" s="192" t="s">
        <v>396</v>
      </c>
      <c r="Y25" s="192" t="s">
        <v>396</v>
      </c>
      <c r="Z25" s="192">
        <v>0</v>
      </c>
      <c r="AA25" s="192">
        <v>0</v>
      </c>
      <c r="AB25" s="318">
        <v>0</v>
      </c>
      <c r="AC25" s="192">
        <v>0</v>
      </c>
      <c r="AD25" s="192">
        <v>0</v>
      </c>
      <c r="AE25" s="318">
        <v>0</v>
      </c>
      <c r="AF25" s="318">
        <v>0</v>
      </c>
    </row>
    <row r="26" spans="1:32" x14ac:dyDescent="0.2">
      <c r="A26" s="533"/>
      <c r="B26" s="45" t="s">
        <v>112</v>
      </c>
      <c r="C26" s="399">
        <f>(C24+C25)/'приложение 3'!S18*100</f>
        <v>1.8022551194422309E-2</v>
      </c>
      <c r="D26" s="399">
        <f>(D24+D25)/'приложение 3'!S19*100</f>
        <v>1.6909982526351389E-3</v>
      </c>
      <c r="E26" s="399">
        <f>(E25+E24)/'приложение 3'!S20*100</f>
        <v>3.4264169582773683E-3</v>
      </c>
      <c r="F26" s="399">
        <f>(F24+F25)/'приложение 3'!S21*100</f>
        <v>5.8994139397994021E-2</v>
      </c>
      <c r="G26" s="192" t="s">
        <v>396</v>
      </c>
      <c r="H26" s="192" t="s">
        <v>396</v>
      </c>
      <c r="I26" s="192" t="s">
        <v>396</v>
      </c>
      <c r="J26" s="192" t="s">
        <v>396</v>
      </c>
      <c r="K26" s="192" t="s">
        <v>396</v>
      </c>
      <c r="L26" s="192" t="s">
        <v>396</v>
      </c>
      <c r="M26" s="399">
        <f>(M24+M25)/'приложение 3'!S28*100</f>
        <v>0</v>
      </c>
      <c r="N26" s="399">
        <f>(N24+N25)/'приложение 3'!S29*100</f>
        <v>0</v>
      </c>
      <c r="O26" s="399">
        <f>(O24+O25)/'приложение 3'!S30*100</f>
        <v>0</v>
      </c>
      <c r="P26" s="399">
        <f>(P24+P25)/('приложение 3'!S31+'приложение 3.1.'!C18)*100</f>
        <v>2.6949103843219625E-2</v>
      </c>
      <c r="Q26" s="399">
        <f>(Q24+Q25)/'приложение 3'!S32*100</f>
        <v>0</v>
      </c>
      <c r="R26" s="399">
        <f>(R24+R25)/('приложение 3'!S33+'приложение 3.1.'!C19)*100</f>
        <v>0</v>
      </c>
      <c r="S26" s="399">
        <f>(S24+S25)/'приложение 3'!S34*100</f>
        <v>0</v>
      </c>
      <c r="T26" s="399">
        <f>(T24+T25)/'приложение 3'!S35*100</f>
        <v>9.6312853222846138E-3</v>
      </c>
      <c r="U26" s="399">
        <f>(U24+U25)/'приложение 3'!S36*100</f>
        <v>0</v>
      </c>
      <c r="V26" s="399">
        <f>(V24+V25)/'приложение 3'!S37*100</f>
        <v>311.49294344889819</v>
      </c>
      <c r="W26" s="192" t="s">
        <v>396</v>
      </c>
      <c r="X26" s="192" t="s">
        <v>396</v>
      </c>
      <c r="Y26" s="192" t="s">
        <v>396</v>
      </c>
      <c r="Z26" s="399">
        <f>(Z24+Z25)/'приложение 3'!S41*100</f>
        <v>0.30255243416161665</v>
      </c>
      <c r="AA26" s="399">
        <f>(AA24+AA25)/'приложение 3'!S42*100</f>
        <v>0.10118880666249543</v>
      </c>
      <c r="AB26" s="399">
        <f>(AB24+AB25)/'приложение 3'!S43*100</f>
        <v>8.5864431167693711E-2</v>
      </c>
      <c r="AC26" s="399">
        <f>(AC24+AC25)/'приложение 3'!S44*100</f>
        <v>0.14434099096991529</v>
      </c>
      <c r="AD26" s="399">
        <f>(AD24+AD25)/'приложение 3'!S45*100</f>
        <v>0.50018189635215138</v>
      </c>
      <c r="AE26" s="399">
        <f>(AE24+AE25)/'приложение 3'!S46*100</f>
        <v>0.11774067579316545</v>
      </c>
      <c r="AF26" s="399">
        <f>(AF24+AF25)/'приложение 3'!S47*100</f>
        <v>7.9600842153837281E-2</v>
      </c>
    </row>
    <row r="27" spans="1:32" ht="41.25" customHeight="1" x14ac:dyDescent="0.2">
      <c r="A27" s="42"/>
      <c r="B27" s="486" t="s">
        <v>678</v>
      </c>
      <c r="C27" s="399">
        <f>1-C26/100</f>
        <v>0.99981977448805581</v>
      </c>
      <c r="D27" s="399">
        <f>1-D26/100</f>
        <v>0.99998309001747365</v>
      </c>
      <c r="E27" s="399">
        <f>1-E26/100</f>
        <v>0.99996573583041726</v>
      </c>
      <c r="F27" s="399">
        <f>1-F26/100</f>
        <v>0.99941005860602006</v>
      </c>
      <c r="G27" s="192" t="s">
        <v>396</v>
      </c>
      <c r="H27" s="192" t="s">
        <v>396</v>
      </c>
      <c r="I27" s="192" t="s">
        <v>396</v>
      </c>
      <c r="J27" s="192" t="s">
        <v>396</v>
      </c>
      <c r="K27" s="192" t="s">
        <v>396</v>
      </c>
      <c r="L27" s="192" t="s">
        <v>396</v>
      </c>
      <c r="M27" s="399">
        <f t="shared" ref="M27:U27" si="2">1-M26/100</f>
        <v>1</v>
      </c>
      <c r="N27" s="399">
        <f t="shared" si="2"/>
        <v>1</v>
      </c>
      <c r="O27" s="399">
        <f t="shared" si="2"/>
        <v>1</v>
      </c>
      <c r="P27" s="399">
        <f t="shared" si="2"/>
        <v>0.99973050896156779</v>
      </c>
      <c r="Q27" s="399">
        <f t="shared" si="2"/>
        <v>1</v>
      </c>
      <c r="R27" s="399">
        <f t="shared" si="2"/>
        <v>1</v>
      </c>
      <c r="S27" s="399">
        <f t="shared" si="2"/>
        <v>1</v>
      </c>
      <c r="T27" s="399">
        <f t="shared" si="2"/>
        <v>0.99990368714677713</v>
      </c>
      <c r="U27" s="399">
        <f t="shared" si="2"/>
        <v>1</v>
      </c>
      <c r="V27" s="399">
        <v>0</v>
      </c>
      <c r="W27" s="192" t="s">
        <v>396</v>
      </c>
      <c r="X27" s="192" t="s">
        <v>396</v>
      </c>
      <c r="Y27" s="192" t="s">
        <v>396</v>
      </c>
      <c r="Z27" s="399">
        <f t="shared" ref="Z27:AF27" si="3">1-Z26/100</f>
        <v>0.99697447565838382</v>
      </c>
      <c r="AA27" s="399">
        <f t="shared" si="3"/>
        <v>0.998988111933375</v>
      </c>
      <c r="AB27" s="399">
        <f t="shared" si="3"/>
        <v>0.99914135568832307</v>
      </c>
      <c r="AC27" s="399">
        <f t="shared" si="3"/>
        <v>0.99855659009030084</v>
      </c>
      <c r="AD27" s="399">
        <f t="shared" si="3"/>
        <v>0.99499818103647852</v>
      </c>
      <c r="AE27" s="399">
        <f t="shared" si="3"/>
        <v>0.99882259324206835</v>
      </c>
      <c r="AF27" s="399">
        <f t="shared" si="3"/>
        <v>0.99920399157846163</v>
      </c>
    </row>
    <row r="28" spans="1:32" x14ac:dyDescent="0.2">
      <c r="A28" s="42"/>
      <c r="B28" s="401" t="s">
        <v>113</v>
      </c>
      <c r="C28" s="399">
        <f>((C25+C24)-(C23+C22))/(C23+C22)*100</f>
        <v>94.19831223628691</v>
      </c>
      <c r="D28" s="399" t="e">
        <f>((D25+D24)-(D23+D22))/(D23+D22)*100</f>
        <v>#DIV/0!</v>
      </c>
      <c r="E28" s="399">
        <f>((E25+E24)-(E23+E22))/(E23+E22)*100</f>
        <v>-67.776456599286576</v>
      </c>
      <c r="F28" s="399">
        <f>((F25+F24)-(F23+F22))/(F23+F22)*100</f>
        <v>693.62831858407083</v>
      </c>
      <c r="G28" s="192" t="s">
        <v>396</v>
      </c>
      <c r="H28" s="192" t="s">
        <v>396</v>
      </c>
      <c r="I28" s="192" t="s">
        <v>396</v>
      </c>
      <c r="J28" s="192" t="s">
        <v>396</v>
      </c>
      <c r="K28" s="192" t="s">
        <v>396</v>
      </c>
      <c r="L28" s="192" t="s">
        <v>396</v>
      </c>
      <c r="M28" s="399" t="e">
        <f>((M25+M24)-(M23+M22))/(M23+M22)*100</f>
        <v>#DIV/0!</v>
      </c>
      <c r="N28" s="399" t="e">
        <f>((N25+N24)-(N23+N22))/(N23+N22)*100</f>
        <v>#DIV/0!</v>
      </c>
      <c r="O28" s="399" t="e">
        <f>((O25+O24)-(O23+O22))/(O23+O22)*100</f>
        <v>#DIV/0!</v>
      </c>
      <c r="P28" s="399">
        <f>((P25+P24)-(P23+P22))/(P23+P22)*100</f>
        <v>-33.77417480563318</v>
      </c>
      <c r="Q28" s="399" t="e">
        <f t="shared" ref="Q28:V28" si="4">((Q25+Q24)-(Q23+Q22))/(Q23+Q22)*100</f>
        <v>#DIV/0!</v>
      </c>
      <c r="R28" s="399" t="e">
        <f t="shared" si="4"/>
        <v>#DIV/0!</v>
      </c>
      <c r="S28" s="399" t="e">
        <f t="shared" si="4"/>
        <v>#DIV/0!</v>
      </c>
      <c r="T28" s="399" t="e">
        <f t="shared" si="4"/>
        <v>#DIV/0!</v>
      </c>
      <c r="U28" s="399">
        <f t="shared" si="4"/>
        <v>-100</v>
      </c>
      <c r="V28" s="399">
        <f t="shared" si="4"/>
        <v>102930.90315560391</v>
      </c>
      <c r="W28" s="192" t="s">
        <v>396</v>
      </c>
      <c r="X28" s="192" t="s">
        <v>396</v>
      </c>
      <c r="Y28" s="192" t="s">
        <v>396</v>
      </c>
      <c r="Z28" s="399">
        <f t="shared" ref="Z28:AF28" si="5">((Z25+Z24)-(Z23+Z22))/(Z23+Z22)*100</f>
        <v>208.02752293577979</v>
      </c>
      <c r="AA28" s="399" t="e">
        <f t="shared" si="5"/>
        <v>#DIV/0!</v>
      </c>
      <c r="AB28" s="399" t="e">
        <f t="shared" si="5"/>
        <v>#DIV/0!</v>
      </c>
      <c r="AC28" s="399" t="e">
        <f t="shared" si="5"/>
        <v>#DIV/0!</v>
      </c>
      <c r="AD28" s="399">
        <f t="shared" si="5"/>
        <v>241.39954853273142</v>
      </c>
      <c r="AE28" s="399" t="e">
        <f t="shared" si="5"/>
        <v>#DIV/0!</v>
      </c>
      <c r="AF28" s="399" t="e">
        <f t="shared" si="5"/>
        <v>#DIV/0!</v>
      </c>
    </row>
    <row r="29" spans="1:32" ht="96" x14ac:dyDescent="0.2">
      <c r="A29" s="42"/>
      <c r="B29" s="486" t="s">
        <v>679</v>
      </c>
      <c r="C29" s="399">
        <v>0</v>
      </c>
      <c r="D29" s="399">
        <v>0</v>
      </c>
      <c r="E29" s="399">
        <v>0.5</v>
      </c>
      <c r="F29" s="399">
        <v>0</v>
      </c>
      <c r="G29" s="192" t="s">
        <v>396</v>
      </c>
      <c r="H29" s="192" t="s">
        <v>396</v>
      </c>
      <c r="I29" s="192" t="s">
        <v>396</v>
      </c>
      <c r="J29" s="192" t="s">
        <v>396</v>
      </c>
      <c r="K29" s="192" t="s">
        <v>396</v>
      </c>
      <c r="L29" s="192" t="s">
        <v>396</v>
      </c>
      <c r="M29" s="399">
        <v>1</v>
      </c>
      <c r="N29" s="399">
        <v>1</v>
      </c>
      <c r="O29" s="399">
        <v>1</v>
      </c>
      <c r="P29" s="399">
        <v>0.5</v>
      </c>
      <c r="Q29" s="399">
        <v>1</v>
      </c>
      <c r="R29" s="399">
        <v>1</v>
      </c>
      <c r="S29" s="399">
        <v>1</v>
      </c>
      <c r="T29" s="399">
        <v>0</v>
      </c>
      <c r="U29" s="399">
        <v>1</v>
      </c>
      <c r="V29" s="399">
        <v>0</v>
      </c>
      <c r="W29" s="192" t="s">
        <v>396</v>
      </c>
      <c r="X29" s="192" t="s">
        <v>396</v>
      </c>
      <c r="Y29" s="192" t="s">
        <v>396</v>
      </c>
      <c r="Z29" s="399">
        <v>0</v>
      </c>
      <c r="AA29" s="399">
        <v>0</v>
      </c>
      <c r="AB29" s="399">
        <v>0</v>
      </c>
      <c r="AC29" s="399">
        <v>0</v>
      </c>
      <c r="AD29" s="399">
        <v>0</v>
      </c>
      <c r="AE29" s="399">
        <v>0</v>
      </c>
      <c r="AF29" s="399">
        <v>0</v>
      </c>
    </row>
    <row r="30" spans="1:32" ht="20.25" customHeight="1" x14ac:dyDescent="0.2">
      <c r="A30" s="43" t="s">
        <v>395</v>
      </c>
    </row>
    <row r="31" spans="1:32" ht="33" customHeight="1" x14ac:dyDescent="0.25">
      <c r="A31" s="905" t="s">
        <v>664</v>
      </c>
      <c r="B31" s="905"/>
      <c r="C31" s="905"/>
      <c r="D31" s="905"/>
      <c r="E31" s="905"/>
      <c r="F31" s="905"/>
      <c r="G31" s="905"/>
      <c r="H31" s="905"/>
      <c r="I31" s="905"/>
      <c r="J31" s="905"/>
      <c r="K31" s="905"/>
      <c r="L31" s="905"/>
    </row>
    <row r="32" spans="1:32" x14ac:dyDescent="0.2">
      <c r="A32" s="43" t="s">
        <v>26</v>
      </c>
      <c r="L32" s="10"/>
    </row>
    <row r="33" spans="1:32" ht="120" x14ac:dyDescent="0.2">
      <c r="A33" s="533"/>
      <c r="B33" s="45" t="s">
        <v>0</v>
      </c>
      <c r="C33" s="539" t="s">
        <v>268</v>
      </c>
      <c r="D33" s="538" t="s">
        <v>292</v>
      </c>
      <c r="E33" s="538" t="s">
        <v>291</v>
      </c>
      <c r="F33" s="538" t="s">
        <v>271</v>
      </c>
      <c r="G33" s="538" t="s">
        <v>320</v>
      </c>
      <c r="H33" s="540" t="s">
        <v>293</v>
      </c>
      <c r="I33" s="538" t="s">
        <v>294</v>
      </c>
      <c r="J33" s="540" t="s">
        <v>295</v>
      </c>
      <c r="K33" s="540" t="s">
        <v>290</v>
      </c>
      <c r="L33" s="538" t="s">
        <v>296</v>
      </c>
      <c r="M33" s="539" t="s">
        <v>282</v>
      </c>
      <c r="N33" s="485" t="s">
        <v>297</v>
      </c>
      <c r="O33" s="539" t="s">
        <v>283</v>
      </c>
      <c r="P33" s="539" t="s">
        <v>298</v>
      </c>
      <c r="Q33" s="539" t="s">
        <v>281</v>
      </c>
      <c r="R33" s="539" t="s">
        <v>299</v>
      </c>
      <c r="S33" s="539" t="s">
        <v>269</v>
      </c>
      <c r="T33" s="539" t="s">
        <v>286</v>
      </c>
      <c r="U33" s="539" t="s">
        <v>300</v>
      </c>
      <c r="V33" s="539" t="s">
        <v>270</v>
      </c>
      <c r="W33" s="539" t="s">
        <v>274</v>
      </c>
      <c r="X33" s="539" t="s">
        <v>301</v>
      </c>
      <c r="Y33" s="539" t="s">
        <v>275</v>
      </c>
      <c r="Z33" s="539" t="s">
        <v>276</v>
      </c>
      <c r="AA33" s="539" t="s">
        <v>277</v>
      </c>
      <c r="AB33" s="539" t="s">
        <v>278</v>
      </c>
      <c r="AC33" s="539" t="s">
        <v>279</v>
      </c>
      <c r="AD33" s="539" t="s">
        <v>280</v>
      </c>
      <c r="AE33" s="539" t="s">
        <v>272</v>
      </c>
      <c r="AF33" s="539" t="s">
        <v>273</v>
      </c>
    </row>
    <row r="34" spans="1:32" ht="112.5" customHeight="1" x14ac:dyDescent="0.2">
      <c r="A34" s="533">
        <v>1</v>
      </c>
      <c r="B34" s="45" t="s">
        <v>683</v>
      </c>
      <c r="C34" s="318">
        <v>1.4</v>
      </c>
      <c r="D34" s="192">
        <v>6.19</v>
      </c>
      <c r="E34" s="192">
        <v>11</v>
      </c>
      <c r="F34" s="192">
        <v>78.23</v>
      </c>
      <c r="G34" s="192" t="s">
        <v>396</v>
      </c>
      <c r="H34" s="192" t="s">
        <v>396</v>
      </c>
      <c r="I34" s="192" t="s">
        <v>396</v>
      </c>
      <c r="J34" s="192" t="s">
        <v>396</v>
      </c>
      <c r="K34" s="192" t="s">
        <v>396</v>
      </c>
      <c r="L34" s="192" t="s">
        <v>396</v>
      </c>
      <c r="M34" s="318">
        <v>4.21</v>
      </c>
      <c r="N34" s="318">
        <v>162.36000000000001</v>
      </c>
      <c r="O34" s="318">
        <v>2.99</v>
      </c>
      <c r="P34" s="318">
        <v>438.4</v>
      </c>
      <c r="Q34" s="318">
        <v>0</v>
      </c>
      <c r="R34" s="318">
        <v>0</v>
      </c>
      <c r="S34" s="318">
        <v>0</v>
      </c>
      <c r="T34" s="318">
        <v>0.5</v>
      </c>
      <c r="U34" s="318">
        <v>1818.98</v>
      </c>
      <c r="V34" s="318">
        <v>34952.519999999997</v>
      </c>
      <c r="W34" s="318" t="s">
        <v>396</v>
      </c>
      <c r="X34" s="318" t="s">
        <v>396</v>
      </c>
      <c r="Y34" s="318" t="s">
        <v>396</v>
      </c>
      <c r="Z34" s="318">
        <v>0</v>
      </c>
      <c r="AA34" s="318">
        <v>0</v>
      </c>
      <c r="AB34" s="318">
        <v>3.28</v>
      </c>
      <c r="AC34" s="318">
        <v>3.4</v>
      </c>
      <c r="AD34" s="318">
        <v>3.33</v>
      </c>
      <c r="AE34" s="318">
        <v>7.11</v>
      </c>
      <c r="AF34" s="318">
        <v>9.4</v>
      </c>
    </row>
    <row r="35" spans="1:32" ht="111" customHeight="1" x14ac:dyDescent="0.2">
      <c r="A35" s="533">
        <v>2</v>
      </c>
      <c r="B35" s="45" t="s">
        <v>682</v>
      </c>
      <c r="C35" s="318">
        <v>0</v>
      </c>
      <c r="D35" s="192">
        <v>0</v>
      </c>
      <c r="E35" s="192">
        <v>0</v>
      </c>
      <c r="F35" s="192">
        <v>0</v>
      </c>
      <c r="G35" s="192" t="s">
        <v>396</v>
      </c>
      <c r="H35" s="192" t="s">
        <v>396</v>
      </c>
      <c r="I35" s="192" t="s">
        <v>396</v>
      </c>
      <c r="J35" s="192" t="s">
        <v>396</v>
      </c>
      <c r="K35" s="192" t="s">
        <v>396</v>
      </c>
      <c r="L35" s="192" t="s">
        <v>396</v>
      </c>
      <c r="M35" s="318">
        <v>0</v>
      </c>
      <c r="N35" s="318">
        <v>0</v>
      </c>
      <c r="O35" s="318">
        <v>0</v>
      </c>
      <c r="P35" s="318">
        <v>441.9</v>
      </c>
      <c r="Q35" s="318">
        <v>0</v>
      </c>
      <c r="R35" s="318">
        <v>0</v>
      </c>
      <c r="S35" s="318">
        <v>0</v>
      </c>
      <c r="T35" s="318">
        <v>0</v>
      </c>
      <c r="U35" s="318">
        <v>0</v>
      </c>
      <c r="V35" s="318">
        <v>0</v>
      </c>
      <c r="W35" s="318" t="s">
        <v>396</v>
      </c>
      <c r="X35" s="318" t="s">
        <v>396</v>
      </c>
      <c r="Y35" s="318" t="s">
        <v>396</v>
      </c>
      <c r="Z35" s="318">
        <v>0</v>
      </c>
      <c r="AA35" s="318">
        <v>0</v>
      </c>
      <c r="AB35" s="318">
        <v>0</v>
      </c>
      <c r="AC35" s="318">
        <v>0</v>
      </c>
      <c r="AD35" s="318">
        <v>0</v>
      </c>
      <c r="AE35" s="318">
        <v>0</v>
      </c>
      <c r="AF35" s="318">
        <v>0</v>
      </c>
    </row>
    <row r="36" spans="1:32" ht="111.6" customHeight="1" x14ac:dyDescent="0.2">
      <c r="A36" s="533">
        <v>3</v>
      </c>
      <c r="B36" s="45" t="s">
        <v>686</v>
      </c>
      <c r="C36" s="318">
        <v>0</v>
      </c>
      <c r="D36" s="192">
        <v>3.04</v>
      </c>
      <c r="E36" s="192">
        <v>16.059999999999999</v>
      </c>
      <c r="F36" s="192">
        <v>2.91</v>
      </c>
      <c r="G36" s="192" t="s">
        <v>396</v>
      </c>
      <c r="H36" s="192" t="s">
        <v>396</v>
      </c>
      <c r="I36" s="192" t="s">
        <v>396</v>
      </c>
      <c r="J36" s="192" t="s">
        <v>396</v>
      </c>
      <c r="K36" s="192" t="s">
        <v>396</v>
      </c>
      <c r="L36" s="192" t="s">
        <v>396</v>
      </c>
      <c r="M36" s="318">
        <v>0</v>
      </c>
      <c r="N36" s="318">
        <v>185197.28</v>
      </c>
      <c r="O36" s="318">
        <v>0</v>
      </c>
      <c r="P36" s="318">
        <v>90.09</v>
      </c>
      <c r="Q36" s="318">
        <v>0</v>
      </c>
      <c r="R36" s="318">
        <v>0</v>
      </c>
      <c r="S36" s="318">
        <v>0</v>
      </c>
      <c r="T36" s="318">
        <v>0</v>
      </c>
      <c r="U36" s="318">
        <v>32.06</v>
      </c>
      <c r="V36" s="318">
        <v>0</v>
      </c>
      <c r="W36" s="318" t="s">
        <v>396</v>
      </c>
      <c r="X36" s="318" t="s">
        <v>396</v>
      </c>
      <c r="Y36" s="318" t="s">
        <v>396</v>
      </c>
      <c r="Z36" s="318">
        <v>0</v>
      </c>
      <c r="AA36" s="318">
        <v>0</v>
      </c>
      <c r="AB36" s="318">
        <v>0</v>
      </c>
      <c r="AC36" s="318">
        <v>0</v>
      </c>
      <c r="AD36" s="318">
        <v>0</v>
      </c>
      <c r="AE36" s="318">
        <v>0</v>
      </c>
      <c r="AF36" s="318">
        <v>0</v>
      </c>
    </row>
    <row r="37" spans="1:32" ht="112.5" customHeight="1" x14ac:dyDescent="0.2">
      <c r="A37" s="533">
        <v>4</v>
      </c>
      <c r="B37" s="45" t="s">
        <v>685</v>
      </c>
      <c r="C37" s="318">
        <v>0</v>
      </c>
      <c r="D37" s="192">
        <v>0</v>
      </c>
      <c r="E37" s="192">
        <v>0</v>
      </c>
      <c r="F37" s="192">
        <v>0</v>
      </c>
      <c r="G37" s="192" t="s">
        <v>396</v>
      </c>
      <c r="H37" s="192" t="s">
        <v>396</v>
      </c>
      <c r="I37" s="192" t="s">
        <v>396</v>
      </c>
      <c r="J37" s="192" t="s">
        <v>396</v>
      </c>
      <c r="K37" s="192" t="s">
        <v>396</v>
      </c>
      <c r="L37" s="192" t="s">
        <v>396</v>
      </c>
      <c r="M37" s="318">
        <v>0</v>
      </c>
      <c r="N37" s="318">
        <v>0</v>
      </c>
      <c r="O37" s="318">
        <v>0</v>
      </c>
      <c r="P37" s="318">
        <v>147.77000000000001</v>
      </c>
      <c r="Q37" s="318">
        <v>0</v>
      </c>
      <c r="R37" s="318">
        <v>0</v>
      </c>
      <c r="S37" s="318">
        <v>0</v>
      </c>
      <c r="T37" s="318">
        <v>0</v>
      </c>
      <c r="U37" s="318">
        <v>0</v>
      </c>
      <c r="V37" s="318">
        <v>0</v>
      </c>
      <c r="W37" s="318" t="s">
        <v>396</v>
      </c>
      <c r="X37" s="318" t="s">
        <v>396</v>
      </c>
      <c r="Y37" s="318" t="s">
        <v>396</v>
      </c>
      <c r="Z37" s="318">
        <v>0</v>
      </c>
      <c r="AA37" s="318">
        <v>0</v>
      </c>
      <c r="AB37" s="318">
        <v>0</v>
      </c>
      <c r="AC37" s="318">
        <v>0</v>
      </c>
      <c r="AD37" s="318">
        <v>0</v>
      </c>
      <c r="AE37" s="318">
        <v>0</v>
      </c>
      <c r="AF37" s="318">
        <v>0</v>
      </c>
    </row>
    <row r="38" spans="1:32" ht="108.6" customHeight="1" x14ac:dyDescent="0.2">
      <c r="A38" s="533">
        <v>5</v>
      </c>
      <c r="B38" s="45" t="s">
        <v>687</v>
      </c>
      <c r="C38" s="319">
        <v>0</v>
      </c>
      <c r="D38" s="192">
        <v>0</v>
      </c>
      <c r="E38" s="192">
        <v>0</v>
      </c>
      <c r="F38" s="192">
        <v>0</v>
      </c>
      <c r="G38" s="192" t="s">
        <v>396</v>
      </c>
      <c r="H38" s="192" t="s">
        <v>396</v>
      </c>
      <c r="I38" s="192" t="s">
        <v>396</v>
      </c>
      <c r="J38" s="192" t="s">
        <v>396</v>
      </c>
      <c r="K38" s="192" t="s">
        <v>396</v>
      </c>
      <c r="L38" s="192" t="s">
        <v>396</v>
      </c>
      <c r="M38" s="318">
        <v>0</v>
      </c>
      <c r="N38" s="318">
        <v>0</v>
      </c>
      <c r="O38" s="318">
        <v>0</v>
      </c>
      <c r="P38" s="318">
        <v>0</v>
      </c>
      <c r="Q38" s="318">
        <v>0</v>
      </c>
      <c r="R38" s="318">
        <v>0</v>
      </c>
      <c r="S38" s="318">
        <v>0</v>
      </c>
      <c r="T38" s="318">
        <v>0</v>
      </c>
      <c r="U38" s="318">
        <v>0</v>
      </c>
      <c r="V38" s="318">
        <v>0</v>
      </c>
      <c r="W38" s="318" t="s">
        <v>396</v>
      </c>
      <c r="X38" s="318" t="s">
        <v>396</v>
      </c>
      <c r="Y38" s="318" t="s">
        <v>396</v>
      </c>
      <c r="Z38" s="318">
        <v>0</v>
      </c>
      <c r="AA38" s="318">
        <v>0</v>
      </c>
      <c r="AB38" s="318">
        <v>0</v>
      </c>
      <c r="AC38" s="318">
        <v>0</v>
      </c>
      <c r="AD38" s="318">
        <v>0</v>
      </c>
      <c r="AE38" s="318">
        <v>7.12</v>
      </c>
      <c r="AF38" s="318">
        <v>1.2</v>
      </c>
    </row>
    <row r="39" spans="1:32" ht="108.6" customHeight="1" x14ac:dyDescent="0.2">
      <c r="A39" s="533">
        <v>6</v>
      </c>
      <c r="B39" s="45" t="s">
        <v>681</v>
      </c>
      <c r="C39" s="318">
        <v>0</v>
      </c>
      <c r="D39" s="192">
        <v>0</v>
      </c>
      <c r="E39" s="192">
        <v>0</v>
      </c>
      <c r="F39" s="192">
        <v>0</v>
      </c>
      <c r="G39" s="192" t="s">
        <v>396</v>
      </c>
      <c r="H39" s="192" t="s">
        <v>396</v>
      </c>
      <c r="I39" s="192" t="s">
        <v>396</v>
      </c>
      <c r="J39" s="192" t="s">
        <v>396</v>
      </c>
      <c r="K39" s="192" t="s">
        <v>396</v>
      </c>
      <c r="L39" s="192" t="s">
        <v>396</v>
      </c>
      <c r="M39" s="318">
        <v>0</v>
      </c>
      <c r="N39" s="318">
        <v>0</v>
      </c>
      <c r="O39" s="318">
        <v>0</v>
      </c>
      <c r="P39" s="318">
        <v>0</v>
      </c>
      <c r="Q39" s="318">
        <v>0</v>
      </c>
      <c r="R39" s="318">
        <v>18.09</v>
      </c>
      <c r="S39" s="318">
        <v>0</v>
      </c>
      <c r="T39" s="318">
        <v>0</v>
      </c>
      <c r="U39" s="318">
        <v>0</v>
      </c>
      <c r="V39" s="318">
        <v>0</v>
      </c>
      <c r="W39" s="318" t="s">
        <v>396</v>
      </c>
      <c r="X39" s="318" t="s">
        <v>396</v>
      </c>
      <c r="Y39" s="318" t="s">
        <v>396</v>
      </c>
      <c r="Z39" s="318">
        <v>0</v>
      </c>
      <c r="AA39" s="318">
        <v>0</v>
      </c>
      <c r="AB39" s="318">
        <v>0</v>
      </c>
      <c r="AC39" s="318">
        <v>0</v>
      </c>
      <c r="AD39" s="318">
        <v>0</v>
      </c>
      <c r="AE39" s="318">
        <v>0</v>
      </c>
      <c r="AF39" s="318">
        <v>0</v>
      </c>
    </row>
    <row r="40" spans="1:32" ht="104.25" customHeight="1" x14ac:dyDescent="0.2">
      <c r="A40" s="533">
        <v>7</v>
      </c>
      <c r="B40" s="45" t="s">
        <v>684</v>
      </c>
      <c r="C40" s="319">
        <v>0</v>
      </c>
      <c r="D40" s="192">
        <v>0</v>
      </c>
      <c r="E40" s="192">
        <v>0</v>
      </c>
      <c r="F40" s="192">
        <v>0</v>
      </c>
      <c r="G40" s="192" t="s">
        <v>396</v>
      </c>
      <c r="H40" s="192" t="s">
        <v>396</v>
      </c>
      <c r="I40" s="192" t="s">
        <v>396</v>
      </c>
      <c r="J40" s="192" t="s">
        <v>396</v>
      </c>
      <c r="K40" s="192" t="s">
        <v>396</v>
      </c>
      <c r="L40" s="192" t="s">
        <v>396</v>
      </c>
      <c r="M40" s="318">
        <v>14.08</v>
      </c>
      <c r="N40" s="318">
        <v>0</v>
      </c>
      <c r="O40" s="318">
        <v>0</v>
      </c>
      <c r="P40" s="318">
        <v>0</v>
      </c>
      <c r="Q40" s="318">
        <v>0</v>
      </c>
      <c r="R40" s="318">
        <v>0</v>
      </c>
      <c r="S40" s="318">
        <v>0</v>
      </c>
      <c r="T40" s="318">
        <v>11.76</v>
      </c>
      <c r="U40" s="318">
        <v>0</v>
      </c>
      <c r="V40" s="318">
        <v>0</v>
      </c>
      <c r="W40" s="318" t="s">
        <v>396</v>
      </c>
      <c r="X40" s="318" t="s">
        <v>396</v>
      </c>
      <c r="Y40" s="318" t="s">
        <v>396</v>
      </c>
      <c r="Z40" s="318">
        <v>0</v>
      </c>
      <c r="AA40" s="318">
        <v>0</v>
      </c>
      <c r="AB40" s="318">
        <v>0</v>
      </c>
      <c r="AC40" s="318">
        <v>0</v>
      </c>
      <c r="AD40" s="318">
        <v>0</v>
      </c>
      <c r="AE40" s="318">
        <v>0</v>
      </c>
      <c r="AF40" s="318">
        <v>0</v>
      </c>
    </row>
    <row r="41" spans="1:32" ht="103.5" customHeight="1" x14ac:dyDescent="0.2">
      <c r="A41" s="533">
        <v>8</v>
      </c>
      <c r="B41" s="45" t="s">
        <v>680</v>
      </c>
      <c r="C41" s="319">
        <v>0</v>
      </c>
      <c r="D41" s="192">
        <v>0</v>
      </c>
      <c r="E41" s="192">
        <v>0</v>
      </c>
      <c r="F41" s="192">
        <v>0</v>
      </c>
      <c r="G41" s="192" t="s">
        <v>396</v>
      </c>
      <c r="H41" s="192" t="s">
        <v>396</v>
      </c>
      <c r="I41" s="192" t="s">
        <v>396</v>
      </c>
      <c r="J41" s="192" t="s">
        <v>396</v>
      </c>
      <c r="K41" s="192" t="s">
        <v>396</v>
      </c>
      <c r="L41" s="192" t="s">
        <v>396</v>
      </c>
      <c r="M41" s="318">
        <v>0</v>
      </c>
      <c r="N41" s="318">
        <v>0</v>
      </c>
      <c r="O41" s="318">
        <v>0</v>
      </c>
      <c r="P41" s="318">
        <v>23.84</v>
      </c>
      <c r="Q41" s="318">
        <v>0</v>
      </c>
      <c r="R41" s="318">
        <v>0</v>
      </c>
      <c r="S41" s="318">
        <v>0</v>
      </c>
      <c r="T41" s="318">
        <v>0</v>
      </c>
      <c r="U41" s="318">
        <v>0</v>
      </c>
      <c r="V41" s="318">
        <v>0</v>
      </c>
      <c r="W41" s="318" t="s">
        <v>396</v>
      </c>
      <c r="X41" s="318" t="s">
        <v>396</v>
      </c>
      <c r="Y41" s="318" t="s">
        <v>396</v>
      </c>
      <c r="Z41" s="318">
        <v>0</v>
      </c>
      <c r="AA41" s="318">
        <v>0</v>
      </c>
      <c r="AB41" s="318">
        <v>0</v>
      </c>
      <c r="AC41" s="318">
        <v>0</v>
      </c>
      <c r="AD41" s="318">
        <v>0</v>
      </c>
      <c r="AE41" s="318">
        <v>0</v>
      </c>
      <c r="AF41" s="318">
        <v>0</v>
      </c>
    </row>
    <row r="42" spans="1:32" x14ac:dyDescent="0.2">
      <c r="A42" s="533"/>
      <c r="B42" s="45" t="s">
        <v>114</v>
      </c>
      <c r="C42" s="399">
        <f>(C36+C37)/'приложение 3'!S18*100</f>
        <v>0</v>
      </c>
      <c r="D42" s="399">
        <f>(D37+D36)/'приложение 3'!S19*100</f>
        <v>2.4479212800051532E-2</v>
      </c>
      <c r="E42" s="399">
        <f>(E37+E36)/'приложение 3'!S20*100</f>
        <v>6.7685432164741113E-3</v>
      </c>
      <c r="F42" s="399">
        <f>(F36+F37)/'приложение 3'!S21*100</f>
        <v>1.9142835152560502E-3</v>
      </c>
      <c r="G42" s="192" t="s">
        <v>396</v>
      </c>
      <c r="H42" s="192" t="s">
        <v>396</v>
      </c>
      <c r="I42" s="192" t="s">
        <v>396</v>
      </c>
      <c r="J42" s="192" t="s">
        <v>396</v>
      </c>
      <c r="K42" s="192" t="s">
        <v>396</v>
      </c>
      <c r="L42" s="192" t="s">
        <v>396</v>
      </c>
      <c r="M42" s="399">
        <f>(M36+M37)/'приложение 3'!S28*100</f>
        <v>0</v>
      </c>
      <c r="N42" s="399">
        <f>(N36+N37)/'приложение 3'!S29*100</f>
        <v>48.675781156571425</v>
      </c>
      <c r="O42" s="399">
        <f>(O36+O37)/'приложение 3'!S30*100</f>
        <v>0</v>
      </c>
      <c r="P42" s="399">
        <f>(P36+P37)/('приложение 3'!S31+'приложение 3.1.'!C18)*100</f>
        <v>2.678022159152833E-2</v>
      </c>
      <c r="Q42" s="399">
        <f>(Q36+Q37)/'приложение 3'!S32*100</f>
        <v>0</v>
      </c>
      <c r="R42" s="399">
        <f>(R36+R37)/('приложение 3'!S33+'приложение 3.1.'!C19)*100</f>
        <v>0</v>
      </c>
      <c r="S42" s="399">
        <f>(S36+S37)/'приложение 3'!S34*100</f>
        <v>0</v>
      </c>
      <c r="T42" s="399">
        <f>(T36+T37)/'приложение 3'!S35*100</f>
        <v>0</v>
      </c>
      <c r="U42" s="399">
        <f>(U36+U37)/'приложение 3'!S36*100</f>
        <v>5.858489876471018E-2</v>
      </c>
      <c r="V42" s="399">
        <f>(V36+V37)/'приложение 3'!S37*100</f>
        <v>0</v>
      </c>
      <c r="W42" s="318" t="s">
        <v>396</v>
      </c>
      <c r="X42" s="318" t="s">
        <v>396</v>
      </c>
      <c r="Y42" s="318" t="s">
        <v>396</v>
      </c>
      <c r="Z42" s="399">
        <f>(Z36+Z37)/'приложение 3'!S41*100</f>
        <v>0</v>
      </c>
      <c r="AA42" s="399">
        <f>(AA36+AA37)/'приложение 3'!S42*100</f>
        <v>0</v>
      </c>
      <c r="AB42" s="399">
        <f>(AB36+AB37)/'приложение 3'!S43*100</f>
        <v>0</v>
      </c>
      <c r="AC42" s="399">
        <f>(AC36+AC37)/'приложение 3'!S44*100</f>
        <v>0</v>
      </c>
      <c r="AD42" s="399">
        <f>(AD36+AD37)/'приложение 3'!S45*100</f>
        <v>0</v>
      </c>
      <c r="AE42" s="399">
        <f>(AE36+AE37)/'приложение 3'!S46*100</f>
        <v>0</v>
      </c>
      <c r="AF42" s="399">
        <f>(AF36+AF37)/'приложение 3'!S47*100</f>
        <v>0</v>
      </c>
    </row>
    <row r="43" spans="1:32" ht="40.5" customHeight="1" x14ac:dyDescent="0.2">
      <c r="A43" s="42"/>
      <c r="B43" s="486" t="s">
        <v>688</v>
      </c>
      <c r="C43" s="399">
        <f>1-C42/100</f>
        <v>1</v>
      </c>
      <c r="D43" s="399">
        <f>1-D42/100</f>
        <v>0.99975520787199945</v>
      </c>
      <c r="E43" s="399">
        <f>1-E42/100</f>
        <v>0.99993231456783527</v>
      </c>
      <c r="F43" s="399">
        <f>1-F42/100</f>
        <v>0.99998085716484741</v>
      </c>
      <c r="G43" s="192" t="s">
        <v>396</v>
      </c>
      <c r="H43" s="192" t="s">
        <v>396</v>
      </c>
      <c r="I43" s="192" t="s">
        <v>396</v>
      </c>
      <c r="J43" s="192" t="s">
        <v>396</v>
      </c>
      <c r="K43" s="192" t="s">
        <v>396</v>
      </c>
      <c r="L43" s="192" t="s">
        <v>396</v>
      </c>
      <c r="M43" s="399">
        <f>1-M42/100</f>
        <v>1</v>
      </c>
      <c r="N43" s="399">
        <v>0</v>
      </c>
      <c r="O43" s="399">
        <f t="shared" ref="O43:V43" si="6">1-O42/100</f>
        <v>1</v>
      </c>
      <c r="P43" s="399">
        <f t="shared" si="6"/>
        <v>0.99973219778408473</v>
      </c>
      <c r="Q43" s="399">
        <f t="shared" si="6"/>
        <v>1</v>
      </c>
      <c r="R43" s="399">
        <f t="shared" si="6"/>
        <v>1</v>
      </c>
      <c r="S43" s="399">
        <f t="shared" si="6"/>
        <v>1</v>
      </c>
      <c r="T43" s="399">
        <f t="shared" si="6"/>
        <v>1</v>
      </c>
      <c r="U43" s="399">
        <f t="shared" si="6"/>
        <v>0.99941415101235287</v>
      </c>
      <c r="V43" s="399">
        <f t="shared" si="6"/>
        <v>1</v>
      </c>
      <c r="W43" s="318" t="s">
        <v>396</v>
      </c>
      <c r="X43" s="318" t="s">
        <v>396</v>
      </c>
      <c r="Y43" s="318" t="s">
        <v>396</v>
      </c>
      <c r="Z43" s="399">
        <f t="shared" ref="Z43:AF43" si="7">1-Z42/100</f>
        <v>1</v>
      </c>
      <c r="AA43" s="399">
        <f t="shared" si="7"/>
        <v>1</v>
      </c>
      <c r="AB43" s="399">
        <f t="shared" si="7"/>
        <v>1</v>
      </c>
      <c r="AC43" s="399">
        <f t="shared" si="7"/>
        <v>1</v>
      </c>
      <c r="AD43" s="399">
        <f t="shared" si="7"/>
        <v>1</v>
      </c>
      <c r="AE43" s="399">
        <f t="shared" si="7"/>
        <v>1</v>
      </c>
      <c r="AF43" s="399">
        <f t="shared" si="7"/>
        <v>1</v>
      </c>
    </row>
    <row r="44" spans="1:32" x14ac:dyDescent="0.2">
      <c r="A44" s="42"/>
      <c r="B44" s="401" t="s">
        <v>115</v>
      </c>
      <c r="C44" s="399">
        <f>100*((C37+C36)-(C35+C34))/(C35+C34)</f>
        <v>-100</v>
      </c>
      <c r="D44" s="399">
        <f>100*((D37+D36)-(D35+D34))/(D35+D34)</f>
        <v>-50.888529886914384</v>
      </c>
      <c r="E44" s="399">
        <f>100*((E37+E36)-(E35+E34))/(E35+E34)</f>
        <v>45.999999999999993</v>
      </c>
      <c r="F44" s="399">
        <f>100*((F37+F36)-(F35+F34))/(F35+F34)</f>
        <v>-96.280199411990296</v>
      </c>
      <c r="G44" s="192" t="s">
        <v>396</v>
      </c>
      <c r="H44" s="192" t="s">
        <v>396</v>
      </c>
      <c r="I44" s="192" t="s">
        <v>396</v>
      </c>
      <c r="J44" s="192" t="s">
        <v>396</v>
      </c>
      <c r="K44" s="192" t="s">
        <v>396</v>
      </c>
      <c r="L44" s="192" t="s">
        <v>396</v>
      </c>
      <c r="M44" s="399">
        <f>100*((M37+M36)-(M35+M34))/(M35+M34)</f>
        <v>-100</v>
      </c>
      <c r="N44" s="399">
        <f t="shared" ref="N44:V44" si="8">100*((N37+N36)-(N35+N34))/(N35+N34)</f>
        <v>113965.82902192658</v>
      </c>
      <c r="O44" s="399">
        <f t="shared" si="8"/>
        <v>-99.999999999999986</v>
      </c>
      <c r="P44" s="399">
        <f t="shared" si="8"/>
        <v>-72.979666022946716</v>
      </c>
      <c r="Q44" s="399" t="e">
        <f t="shared" si="8"/>
        <v>#DIV/0!</v>
      </c>
      <c r="R44" s="399" t="e">
        <f t="shared" si="8"/>
        <v>#DIV/0!</v>
      </c>
      <c r="S44" s="399" t="e">
        <f t="shared" si="8"/>
        <v>#DIV/0!</v>
      </c>
      <c r="T44" s="399">
        <f t="shared" si="8"/>
        <v>-100</v>
      </c>
      <c r="U44" s="399">
        <f t="shared" si="8"/>
        <v>-98.237473749024176</v>
      </c>
      <c r="V44" s="399">
        <f t="shared" si="8"/>
        <v>-100</v>
      </c>
      <c r="W44" s="318" t="s">
        <v>396</v>
      </c>
      <c r="X44" s="318" t="s">
        <v>396</v>
      </c>
      <c r="Y44" s="318" t="s">
        <v>396</v>
      </c>
      <c r="Z44" s="399" t="e">
        <f t="shared" ref="Z44:AF44" si="9">100*((Z37+Z36)-(Z35+Z34))/(Z35+Z34)</f>
        <v>#DIV/0!</v>
      </c>
      <c r="AA44" s="399" t="e">
        <f t="shared" si="9"/>
        <v>#DIV/0!</v>
      </c>
      <c r="AB44" s="399">
        <f t="shared" si="9"/>
        <v>-100</v>
      </c>
      <c r="AC44" s="399">
        <f t="shared" si="9"/>
        <v>-100</v>
      </c>
      <c r="AD44" s="399">
        <f t="shared" si="9"/>
        <v>-100</v>
      </c>
      <c r="AE44" s="399">
        <f t="shared" si="9"/>
        <v>-100</v>
      </c>
      <c r="AF44" s="399">
        <f t="shared" si="9"/>
        <v>-100</v>
      </c>
    </row>
    <row r="45" spans="1:32" ht="90" customHeight="1" x14ac:dyDescent="0.2">
      <c r="A45" s="42"/>
      <c r="B45" s="486" t="s">
        <v>689</v>
      </c>
      <c r="C45" s="399">
        <v>1</v>
      </c>
      <c r="D45" s="399">
        <v>0.5</v>
      </c>
      <c r="E45" s="399">
        <v>0</v>
      </c>
      <c r="F45" s="399">
        <v>0.5</v>
      </c>
      <c r="G45" s="192" t="s">
        <v>396</v>
      </c>
      <c r="H45" s="192" t="s">
        <v>396</v>
      </c>
      <c r="I45" s="192" t="s">
        <v>396</v>
      </c>
      <c r="J45" s="192" t="s">
        <v>396</v>
      </c>
      <c r="K45" s="192" t="s">
        <v>396</v>
      </c>
      <c r="L45" s="192" t="s">
        <v>396</v>
      </c>
      <c r="M45" s="399">
        <v>1</v>
      </c>
      <c r="N45" s="399">
        <v>0</v>
      </c>
      <c r="O45" s="399">
        <v>1</v>
      </c>
      <c r="P45" s="399">
        <v>0.5</v>
      </c>
      <c r="Q45" s="399">
        <v>1</v>
      </c>
      <c r="R45" s="399">
        <v>1</v>
      </c>
      <c r="S45" s="399">
        <v>1</v>
      </c>
      <c r="T45" s="399">
        <v>1</v>
      </c>
      <c r="U45" s="399">
        <v>0.5</v>
      </c>
      <c r="V45" s="399">
        <v>1</v>
      </c>
      <c r="W45" s="318" t="s">
        <v>396</v>
      </c>
      <c r="X45" s="318" t="s">
        <v>396</v>
      </c>
      <c r="Y45" s="318" t="s">
        <v>396</v>
      </c>
      <c r="Z45" s="399">
        <v>1</v>
      </c>
      <c r="AA45" s="399">
        <v>1</v>
      </c>
      <c r="AB45" s="399">
        <v>1</v>
      </c>
      <c r="AC45" s="399">
        <v>1</v>
      </c>
      <c r="AD45" s="399">
        <v>1</v>
      </c>
      <c r="AE45" s="399">
        <v>1</v>
      </c>
      <c r="AF45" s="399">
        <v>1</v>
      </c>
    </row>
    <row r="46" spans="1:32" ht="12.6" customHeight="1" x14ac:dyDescent="0.2">
      <c r="A46" s="47"/>
      <c r="B46" s="401" t="s">
        <v>230</v>
      </c>
      <c r="C46" s="399" t="e">
        <f>100*((C40+C41)-(C38+C39))/(C38+C39)</f>
        <v>#DIV/0!</v>
      </c>
      <c r="D46" s="399" t="e">
        <f>100*((D40+D41)-(D38+D39))/(D38+D39)</f>
        <v>#DIV/0!</v>
      </c>
      <c r="E46" s="399" t="e">
        <f>100*((E40+E41)-(E38+E39))/(E38+E39)</f>
        <v>#DIV/0!</v>
      </c>
      <c r="F46" s="399" t="e">
        <f>100*((F40+F41)-(F38+F39))/(F38+F39)</f>
        <v>#DIV/0!</v>
      </c>
      <c r="G46" s="192" t="s">
        <v>396</v>
      </c>
      <c r="H46" s="192" t="s">
        <v>396</v>
      </c>
      <c r="I46" s="192" t="s">
        <v>396</v>
      </c>
      <c r="J46" s="192" t="s">
        <v>396</v>
      </c>
      <c r="K46" s="192" t="s">
        <v>396</v>
      </c>
      <c r="L46" s="192" t="s">
        <v>396</v>
      </c>
      <c r="M46" s="399" t="e">
        <f t="shared" ref="M46:V46" si="10">100*((M40+M41)-(M38+M39))/(M38+M39)</f>
        <v>#DIV/0!</v>
      </c>
      <c r="N46" s="399" t="e">
        <f t="shared" si="10"/>
        <v>#DIV/0!</v>
      </c>
      <c r="O46" s="399" t="e">
        <f t="shared" si="10"/>
        <v>#DIV/0!</v>
      </c>
      <c r="P46" s="399" t="e">
        <f t="shared" si="10"/>
        <v>#DIV/0!</v>
      </c>
      <c r="Q46" s="399" t="e">
        <f t="shared" si="10"/>
        <v>#DIV/0!</v>
      </c>
      <c r="R46" s="399">
        <f t="shared" si="10"/>
        <v>-100</v>
      </c>
      <c r="S46" s="399" t="e">
        <f t="shared" si="10"/>
        <v>#DIV/0!</v>
      </c>
      <c r="T46" s="399" t="e">
        <f t="shared" si="10"/>
        <v>#DIV/0!</v>
      </c>
      <c r="U46" s="399" t="e">
        <f t="shared" si="10"/>
        <v>#DIV/0!</v>
      </c>
      <c r="V46" s="399" t="e">
        <f t="shared" si="10"/>
        <v>#DIV/0!</v>
      </c>
      <c r="W46" s="318" t="s">
        <v>396</v>
      </c>
      <c r="X46" s="318" t="s">
        <v>396</v>
      </c>
      <c r="Y46" s="318" t="s">
        <v>396</v>
      </c>
      <c r="Z46" s="399" t="e">
        <f t="shared" ref="Z46:AF46" si="11">100*((Z40+Z41)-(Z38+Z39))/(Z38+Z39)</f>
        <v>#DIV/0!</v>
      </c>
      <c r="AA46" s="399" t="e">
        <f t="shared" si="11"/>
        <v>#DIV/0!</v>
      </c>
      <c r="AB46" s="399" t="e">
        <f t="shared" si="11"/>
        <v>#DIV/0!</v>
      </c>
      <c r="AC46" s="399" t="e">
        <f t="shared" si="11"/>
        <v>#DIV/0!</v>
      </c>
      <c r="AD46" s="399" t="e">
        <f t="shared" si="11"/>
        <v>#DIV/0!</v>
      </c>
      <c r="AE46" s="399">
        <f t="shared" si="11"/>
        <v>-100</v>
      </c>
      <c r="AF46" s="399">
        <f t="shared" si="11"/>
        <v>-100</v>
      </c>
    </row>
    <row r="47" spans="1:32" ht="89.25" customHeight="1" x14ac:dyDescent="0.2">
      <c r="A47" s="48"/>
      <c r="B47" s="486" t="s">
        <v>690</v>
      </c>
      <c r="C47" s="985">
        <v>1</v>
      </c>
      <c r="D47" s="399">
        <v>1</v>
      </c>
      <c r="E47" s="399">
        <v>1</v>
      </c>
      <c r="F47" s="399">
        <v>1</v>
      </c>
      <c r="G47" s="192" t="s">
        <v>396</v>
      </c>
      <c r="H47" s="192" t="s">
        <v>396</v>
      </c>
      <c r="I47" s="192" t="s">
        <v>396</v>
      </c>
      <c r="J47" s="192" t="s">
        <v>396</v>
      </c>
      <c r="K47" s="192" t="s">
        <v>396</v>
      </c>
      <c r="L47" s="192" t="s">
        <v>396</v>
      </c>
      <c r="M47" s="399">
        <v>0</v>
      </c>
      <c r="N47" s="399">
        <v>1</v>
      </c>
      <c r="O47" s="399">
        <v>1</v>
      </c>
      <c r="P47" s="399">
        <v>0</v>
      </c>
      <c r="Q47" s="399">
        <v>1</v>
      </c>
      <c r="R47" s="399">
        <v>1</v>
      </c>
      <c r="S47" s="399">
        <v>1</v>
      </c>
      <c r="T47" s="399">
        <v>0</v>
      </c>
      <c r="U47" s="399">
        <v>1</v>
      </c>
      <c r="V47" s="399">
        <v>1</v>
      </c>
      <c r="W47" s="318" t="s">
        <v>396</v>
      </c>
      <c r="X47" s="318" t="s">
        <v>396</v>
      </c>
      <c r="Y47" s="318" t="s">
        <v>396</v>
      </c>
      <c r="Z47" s="399">
        <v>1</v>
      </c>
      <c r="AA47" s="399">
        <v>1</v>
      </c>
      <c r="AB47" s="399">
        <v>1</v>
      </c>
      <c r="AC47" s="399">
        <v>1</v>
      </c>
      <c r="AD47" s="399">
        <v>1</v>
      </c>
      <c r="AE47" s="399">
        <v>1</v>
      </c>
      <c r="AF47" s="399">
        <v>1</v>
      </c>
    </row>
    <row r="48" spans="1:32" ht="12.6" customHeight="1" x14ac:dyDescent="0.2">
      <c r="A48" s="43" t="s">
        <v>395</v>
      </c>
      <c r="J48" s="328"/>
    </row>
    <row r="49" spans="1:32" ht="20.45" customHeight="1" x14ac:dyDescent="0.25">
      <c r="A49" s="906" t="s">
        <v>660</v>
      </c>
      <c r="B49" s="906"/>
      <c r="C49" s="906"/>
      <c r="D49" s="906"/>
      <c r="E49" s="906"/>
      <c r="F49" s="906"/>
      <c r="G49" s="906"/>
      <c r="H49" s="906"/>
      <c r="I49" s="906"/>
      <c r="J49" s="906"/>
      <c r="K49" s="906"/>
      <c r="L49" s="906"/>
    </row>
    <row r="50" spans="1:32" ht="12" customHeight="1" x14ac:dyDescent="0.2">
      <c r="A50" s="43" t="s">
        <v>196</v>
      </c>
      <c r="L50" s="10"/>
    </row>
    <row r="51" spans="1:32" ht="138.75" customHeight="1" x14ac:dyDescent="0.2">
      <c r="A51" s="45" t="s">
        <v>0</v>
      </c>
      <c r="B51" s="45" t="s">
        <v>110</v>
      </c>
      <c r="C51" s="539" t="s">
        <v>268</v>
      </c>
      <c r="D51" s="538" t="s">
        <v>292</v>
      </c>
      <c r="E51" s="538" t="s">
        <v>291</v>
      </c>
      <c r="F51" s="538" t="s">
        <v>271</v>
      </c>
      <c r="G51" s="538" t="s">
        <v>320</v>
      </c>
      <c r="H51" s="540" t="s">
        <v>293</v>
      </c>
      <c r="I51" s="538" t="s">
        <v>294</v>
      </c>
      <c r="J51" s="540" t="s">
        <v>295</v>
      </c>
      <c r="K51" s="540" t="s">
        <v>290</v>
      </c>
      <c r="L51" s="538" t="s">
        <v>296</v>
      </c>
      <c r="M51" s="539" t="s">
        <v>282</v>
      </c>
      <c r="N51" s="485" t="s">
        <v>297</v>
      </c>
      <c r="O51" s="539" t="s">
        <v>283</v>
      </c>
      <c r="P51" s="539" t="s">
        <v>298</v>
      </c>
      <c r="Q51" s="539" t="s">
        <v>281</v>
      </c>
      <c r="R51" s="539" t="s">
        <v>299</v>
      </c>
      <c r="S51" s="539" t="s">
        <v>269</v>
      </c>
      <c r="T51" s="539" t="s">
        <v>286</v>
      </c>
      <c r="U51" s="539" t="s">
        <v>300</v>
      </c>
      <c r="V51" s="539" t="s">
        <v>270</v>
      </c>
      <c r="W51" s="539" t="s">
        <v>274</v>
      </c>
      <c r="X51" s="539" t="s">
        <v>301</v>
      </c>
      <c r="Y51" s="539" t="s">
        <v>275</v>
      </c>
      <c r="Z51" s="539" t="s">
        <v>276</v>
      </c>
      <c r="AA51" s="539" t="s">
        <v>277</v>
      </c>
      <c r="AB51" s="539" t="s">
        <v>278</v>
      </c>
      <c r="AC51" s="539" t="s">
        <v>279</v>
      </c>
      <c r="AD51" s="539" t="s">
        <v>280</v>
      </c>
      <c r="AE51" s="539" t="s">
        <v>272</v>
      </c>
      <c r="AF51" s="539" t="s">
        <v>273</v>
      </c>
    </row>
    <row r="52" spans="1:32" ht="87" customHeight="1" x14ac:dyDescent="0.2">
      <c r="A52" s="986" t="s">
        <v>233</v>
      </c>
      <c r="B52" s="49" t="s">
        <v>658</v>
      </c>
      <c r="C52" s="193">
        <v>1572.94</v>
      </c>
      <c r="D52" s="192">
        <v>42.29</v>
      </c>
      <c r="E52" s="192">
        <v>256.57</v>
      </c>
      <c r="F52" s="192">
        <v>505.58</v>
      </c>
      <c r="G52" s="192" t="s">
        <v>396</v>
      </c>
      <c r="H52" s="192" t="s">
        <v>396</v>
      </c>
      <c r="I52" s="192" t="s">
        <v>396</v>
      </c>
      <c r="J52" s="192" t="s">
        <v>396</v>
      </c>
      <c r="K52" s="192" t="s">
        <v>396</v>
      </c>
      <c r="L52" s="192" t="s">
        <v>396</v>
      </c>
      <c r="M52" s="318">
        <v>3.53</v>
      </c>
      <c r="N52" s="318">
        <v>243.02</v>
      </c>
      <c r="O52" s="318">
        <v>3136.04</v>
      </c>
      <c r="P52" s="318">
        <v>24840.74</v>
      </c>
      <c r="Q52" s="318">
        <v>1908.18</v>
      </c>
      <c r="R52" s="318">
        <v>7.22</v>
      </c>
      <c r="S52" s="318">
        <v>723.08</v>
      </c>
      <c r="T52" s="318">
        <v>0</v>
      </c>
      <c r="U52" s="318">
        <v>958.63</v>
      </c>
      <c r="V52" s="318">
        <v>13173.58</v>
      </c>
      <c r="W52" s="192" t="s">
        <v>396</v>
      </c>
      <c r="X52" s="192" t="s">
        <v>396</v>
      </c>
      <c r="Y52" s="192" t="s">
        <v>396</v>
      </c>
      <c r="Z52" s="318">
        <v>0.12</v>
      </c>
      <c r="AA52" s="318">
        <v>0.33</v>
      </c>
      <c r="AB52" s="318">
        <v>135.16</v>
      </c>
      <c r="AC52" s="318">
        <v>0.28999999999999998</v>
      </c>
      <c r="AD52" s="318">
        <v>3.89</v>
      </c>
      <c r="AE52" s="318">
        <v>27.81</v>
      </c>
      <c r="AF52" s="318">
        <v>67.62</v>
      </c>
    </row>
    <row r="53" spans="1:32" ht="81" customHeight="1" x14ac:dyDescent="0.2">
      <c r="A53" s="987"/>
      <c r="B53" s="49" t="s">
        <v>659</v>
      </c>
      <c r="C53" s="193">
        <v>799.31</v>
      </c>
      <c r="D53" s="192">
        <v>55.8</v>
      </c>
      <c r="E53" s="192">
        <v>279.19</v>
      </c>
      <c r="F53" s="192">
        <v>1116.01</v>
      </c>
      <c r="G53" s="192" t="s">
        <v>396</v>
      </c>
      <c r="H53" s="192" t="s">
        <v>396</v>
      </c>
      <c r="I53" s="192" t="s">
        <v>396</v>
      </c>
      <c r="J53" s="192" t="s">
        <v>396</v>
      </c>
      <c r="K53" s="192" t="s">
        <v>396</v>
      </c>
      <c r="L53" s="192" t="s">
        <v>396</v>
      </c>
      <c r="M53" s="318">
        <v>0</v>
      </c>
      <c r="N53" s="318">
        <v>276.23</v>
      </c>
      <c r="O53" s="318">
        <v>2659.73</v>
      </c>
      <c r="P53" s="318">
        <v>26790.62</v>
      </c>
      <c r="Q53" s="318">
        <v>1534.13</v>
      </c>
      <c r="R53" s="318">
        <v>3.29</v>
      </c>
      <c r="S53" s="318">
        <v>315.79000000000002</v>
      </c>
      <c r="T53" s="318">
        <v>0</v>
      </c>
      <c r="U53" s="318">
        <v>964.55</v>
      </c>
      <c r="V53" s="318">
        <v>13256.62</v>
      </c>
      <c r="W53" s="192" t="s">
        <v>396</v>
      </c>
      <c r="X53" s="192" t="s">
        <v>396</v>
      </c>
      <c r="Y53" s="192" t="s">
        <v>396</v>
      </c>
      <c r="Z53" s="318">
        <v>0</v>
      </c>
      <c r="AA53" s="318">
        <v>0</v>
      </c>
      <c r="AB53" s="318">
        <v>0.22</v>
      </c>
      <c r="AC53" s="318">
        <v>0</v>
      </c>
      <c r="AD53" s="318">
        <v>0</v>
      </c>
      <c r="AE53" s="318">
        <v>0</v>
      </c>
      <c r="AF53" s="318">
        <v>0</v>
      </c>
    </row>
    <row r="54" spans="1:32" ht="15" x14ac:dyDescent="0.25">
      <c r="A54" s="987"/>
      <c r="B54" s="298" t="s">
        <v>234</v>
      </c>
      <c r="C54" s="269">
        <f>(C53-C52)/C52*100</f>
        <v>-49.183694228641912</v>
      </c>
      <c r="D54" s="269">
        <f>(D53-D52)/D52*100</f>
        <v>31.946086545282569</v>
      </c>
      <c r="E54" s="269">
        <f t="shared" ref="E54:AF54" si="12">(E53-E52)/E52*100</f>
        <v>8.8163074404645929</v>
      </c>
      <c r="F54" s="269">
        <f t="shared" si="12"/>
        <v>120.73855769611141</v>
      </c>
      <c r="G54" s="192" t="s">
        <v>396</v>
      </c>
      <c r="H54" s="192" t="s">
        <v>396</v>
      </c>
      <c r="I54" s="192" t="s">
        <v>396</v>
      </c>
      <c r="J54" s="192" t="s">
        <v>396</v>
      </c>
      <c r="K54" s="192" t="s">
        <v>396</v>
      </c>
      <c r="L54" s="192" t="s">
        <v>396</v>
      </c>
      <c r="M54" s="269">
        <f t="shared" si="12"/>
        <v>-100</v>
      </c>
      <c r="N54" s="269">
        <f t="shared" si="12"/>
        <v>13.665541930705293</v>
      </c>
      <c r="O54" s="269">
        <f t="shared" si="12"/>
        <v>-15.188262904809886</v>
      </c>
      <c r="P54" s="269">
        <f t="shared" si="12"/>
        <v>7.8495246115856343</v>
      </c>
      <c r="Q54" s="269">
        <f t="shared" si="12"/>
        <v>-19.60244840633483</v>
      </c>
      <c r="R54" s="269">
        <f t="shared" si="12"/>
        <v>-54.43213296398892</v>
      </c>
      <c r="S54" s="269">
        <f t="shared" si="12"/>
        <v>-56.327100735741553</v>
      </c>
      <c r="T54" s="269" t="e">
        <f t="shared" si="12"/>
        <v>#DIV/0!</v>
      </c>
      <c r="U54" s="269">
        <f t="shared" si="12"/>
        <v>0.61754795906658033</v>
      </c>
      <c r="V54" s="269">
        <f t="shared" si="12"/>
        <v>0.63035256930918449</v>
      </c>
      <c r="W54" s="192" t="s">
        <v>396</v>
      </c>
      <c r="X54" s="192" t="s">
        <v>396</v>
      </c>
      <c r="Y54" s="192" t="s">
        <v>396</v>
      </c>
      <c r="Z54" s="269">
        <f t="shared" si="12"/>
        <v>-100</v>
      </c>
      <c r="AA54" s="269">
        <f t="shared" si="12"/>
        <v>-100</v>
      </c>
      <c r="AB54" s="269">
        <f t="shared" si="12"/>
        <v>-99.837229949689259</v>
      </c>
      <c r="AC54" s="269">
        <f t="shared" si="12"/>
        <v>-100</v>
      </c>
      <c r="AD54" s="269">
        <f t="shared" si="12"/>
        <v>-100</v>
      </c>
      <c r="AE54" s="269">
        <f t="shared" si="12"/>
        <v>-100</v>
      </c>
      <c r="AF54" s="269">
        <f t="shared" si="12"/>
        <v>-100</v>
      </c>
    </row>
    <row r="55" spans="1:32" ht="44.25" customHeight="1" x14ac:dyDescent="0.25">
      <c r="A55" s="988"/>
      <c r="B55" s="989" t="s">
        <v>393</v>
      </c>
      <c r="C55" s="534">
        <v>1</v>
      </c>
      <c r="D55" s="46">
        <v>0</v>
      </c>
      <c r="E55" s="46">
        <v>1</v>
      </c>
      <c r="F55" s="46">
        <v>0</v>
      </c>
      <c r="G55" s="192" t="s">
        <v>396</v>
      </c>
      <c r="H55" s="192" t="s">
        <v>396</v>
      </c>
      <c r="I55" s="192" t="s">
        <v>396</v>
      </c>
      <c r="J55" s="192" t="s">
        <v>396</v>
      </c>
      <c r="K55" s="192" t="s">
        <v>396</v>
      </c>
      <c r="L55" s="192" t="s">
        <v>396</v>
      </c>
      <c r="M55" s="990">
        <v>1</v>
      </c>
      <c r="N55" s="990">
        <v>0</v>
      </c>
      <c r="O55" s="990">
        <v>1</v>
      </c>
      <c r="P55" s="990">
        <v>1</v>
      </c>
      <c r="Q55" s="990">
        <v>1</v>
      </c>
      <c r="R55" s="990">
        <v>1</v>
      </c>
      <c r="S55" s="990">
        <v>1</v>
      </c>
      <c r="T55" s="990">
        <v>1</v>
      </c>
      <c r="U55" s="990">
        <v>1</v>
      </c>
      <c r="V55" s="990">
        <v>1</v>
      </c>
      <c r="W55" s="192" t="s">
        <v>396</v>
      </c>
      <c r="X55" s="192" t="s">
        <v>396</v>
      </c>
      <c r="Y55" s="192" t="s">
        <v>396</v>
      </c>
      <c r="Z55" s="990">
        <v>1</v>
      </c>
      <c r="AA55" s="990">
        <v>1</v>
      </c>
      <c r="AB55" s="990">
        <v>1</v>
      </c>
      <c r="AC55" s="990">
        <v>1</v>
      </c>
      <c r="AD55" s="990">
        <v>1</v>
      </c>
      <c r="AE55" s="990">
        <v>1</v>
      </c>
      <c r="AF55" s="990">
        <v>1</v>
      </c>
    </row>
    <row r="56" spans="1:32" ht="15" x14ac:dyDescent="0.25">
      <c r="A56" s="43" t="s">
        <v>395</v>
      </c>
      <c r="B56" s="50"/>
      <c r="C56" s="50"/>
    </row>
    <row r="57" spans="1:32" ht="15" x14ac:dyDescent="0.25">
      <c r="B57" s="50"/>
      <c r="C57" s="50"/>
    </row>
  </sheetData>
  <customSheetViews>
    <customSheetView guid="{EB9C9A86-B58A-443D-8E32-0F9B9A284E4A}" fitToPage="1">
      <selection activeCell="C9" sqref="C9:K15"/>
      <pageMargins left="0.70866141732283472" right="0.70866141732283472" top="0.74803149606299213" bottom="0.74803149606299213" header="0.31496062992125984" footer="0.31496062992125984"/>
      <pageSetup paperSize="9" scale="95" orientation="landscape" r:id="rId1"/>
    </customSheetView>
  </customSheetViews>
  <mergeCells count="7">
    <mergeCell ref="A52:A55"/>
    <mergeCell ref="A2:L2"/>
    <mergeCell ref="A3:L3"/>
    <mergeCell ref="A19:L19"/>
    <mergeCell ref="A31:L31"/>
    <mergeCell ref="A49:L49"/>
    <mergeCell ref="A17:L17"/>
  </mergeCells>
  <pageMargins left="0.51181102362204722" right="0.51181102362204722" top="0.35433070866141736" bottom="0.35433070866141736" header="0.31496062992125984" footer="0.31496062992125984"/>
  <pageSetup paperSize="9" scale="60" fitToHeight="0"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42"/>
  <sheetViews>
    <sheetView topLeftCell="A10" workbookViewId="0">
      <selection activeCell="C6" sqref="A6:D37"/>
    </sheetView>
  </sheetViews>
  <sheetFormatPr defaultColWidth="8.85546875" defaultRowHeight="12.75" x14ac:dyDescent="0.2"/>
  <cols>
    <col min="1" max="1" width="7.140625" style="2" customWidth="1"/>
    <col min="2" max="2" width="37.85546875" style="2" customWidth="1"/>
    <col min="3" max="3" width="25.85546875" style="2" customWidth="1"/>
    <col min="4" max="4" width="28.28515625" style="2" customWidth="1"/>
    <col min="5" max="16384" width="8.85546875" style="2"/>
  </cols>
  <sheetData>
    <row r="2" spans="1:4" ht="18.75" x14ac:dyDescent="0.3">
      <c r="A2" s="912" t="s">
        <v>163</v>
      </c>
      <c r="B2" s="912"/>
      <c r="C2" s="912"/>
      <c r="D2" s="912"/>
    </row>
    <row r="3" spans="1:4" ht="13.5" thickBot="1" x14ac:dyDescent="0.25">
      <c r="A3" s="914" t="s">
        <v>448</v>
      </c>
      <c r="B3" s="914"/>
      <c r="C3" s="914"/>
      <c r="D3" s="914"/>
    </row>
    <row r="4" spans="1:4" ht="13.5" thickBot="1" x14ac:dyDescent="0.25">
      <c r="A4" s="910" t="s">
        <v>158</v>
      </c>
      <c r="B4" s="910" t="s">
        <v>159</v>
      </c>
      <c r="C4" s="908" t="s">
        <v>164</v>
      </c>
      <c r="D4" s="909"/>
    </row>
    <row r="5" spans="1:4" ht="128.44999999999999" customHeight="1" thickBot="1" x14ac:dyDescent="0.25">
      <c r="A5" s="911"/>
      <c r="B5" s="911"/>
      <c r="C5" s="162" t="s">
        <v>160</v>
      </c>
      <c r="D5" s="159" t="s">
        <v>161</v>
      </c>
    </row>
    <row r="6" spans="1:4" ht="37.5" customHeight="1" thickBot="1" x14ac:dyDescent="0.25">
      <c r="A6" s="309">
        <v>1</v>
      </c>
      <c r="B6" s="539" t="s">
        <v>268</v>
      </c>
      <c r="C6" s="310" t="s">
        <v>218</v>
      </c>
      <c r="D6" s="310" t="s">
        <v>218</v>
      </c>
    </row>
    <row r="7" spans="1:4" ht="39" customHeight="1" thickBot="1" x14ac:dyDescent="0.25">
      <c r="A7" s="309">
        <v>2</v>
      </c>
      <c r="B7" s="991" t="s">
        <v>292</v>
      </c>
      <c r="C7" s="310" t="s">
        <v>218</v>
      </c>
      <c r="D7" s="310" t="s">
        <v>218</v>
      </c>
    </row>
    <row r="8" spans="1:4" ht="42.75" customHeight="1" thickBot="1" x14ac:dyDescent="0.25">
      <c r="A8" s="309">
        <v>3</v>
      </c>
      <c r="B8" s="541" t="s">
        <v>291</v>
      </c>
      <c r="C8" s="310" t="s">
        <v>218</v>
      </c>
      <c r="D8" s="310" t="s">
        <v>218</v>
      </c>
    </row>
    <row r="9" spans="1:4" ht="41.25" customHeight="1" thickBot="1" x14ac:dyDescent="0.25">
      <c r="A9" s="309">
        <v>4</v>
      </c>
      <c r="B9" s="991" t="s">
        <v>271</v>
      </c>
      <c r="C9" s="310" t="s">
        <v>218</v>
      </c>
      <c r="D9" s="310" t="s">
        <v>218</v>
      </c>
    </row>
    <row r="10" spans="1:4" ht="39" customHeight="1" thickBot="1" x14ac:dyDescent="0.25">
      <c r="A10" s="309">
        <v>5</v>
      </c>
      <c r="B10" s="992" t="s">
        <v>320</v>
      </c>
      <c r="C10" s="310" t="s">
        <v>218</v>
      </c>
      <c r="D10" s="310" t="s">
        <v>218</v>
      </c>
    </row>
    <row r="11" spans="1:4" ht="24.75" customHeight="1" thickBot="1" x14ac:dyDescent="0.25">
      <c r="A11" s="309">
        <v>6</v>
      </c>
      <c r="B11" s="993" t="s">
        <v>293</v>
      </c>
      <c r="C11" s="310" t="s">
        <v>16</v>
      </c>
      <c r="D11" s="310" t="s">
        <v>218</v>
      </c>
    </row>
    <row r="12" spans="1:4" ht="25.5" customHeight="1" thickBot="1" x14ac:dyDescent="0.25">
      <c r="A12" s="309">
        <v>7</v>
      </c>
      <c r="B12" s="992" t="s">
        <v>294</v>
      </c>
      <c r="C12" s="310" t="s">
        <v>16</v>
      </c>
      <c r="D12" s="310" t="s">
        <v>218</v>
      </c>
    </row>
    <row r="13" spans="1:4" ht="22.5" customHeight="1" thickBot="1" x14ac:dyDescent="0.25">
      <c r="A13" s="309">
        <v>8</v>
      </c>
      <c r="B13" s="993" t="s">
        <v>295</v>
      </c>
      <c r="C13" s="310" t="s">
        <v>16</v>
      </c>
      <c r="D13" s="310" t="s">
        <v>218</v>
      </c>
    </row>
    <row r="14" spans="1:4" ht="27.75" customHeight="1" thickBot="1" x14ac:dyDescent="0.25">
      <c r="A14" s="309">
        <v>9</v>
      </c>
      <c r="B14" s="994" t="s">
        <v>290</v>
      </c>
      <c r="C14" s="310" t="s">
        <v>218</v>
      </c>
      <c r="D14" s="310" t="s">
        <v>218</v>
      </c>
    </row>
    <row r="15" spans="1:4" ht="24" customHeight="1" thickBot="1" x14ac:dyDescent="0.25">
      <c r="A15" s="309">
        <v>10</v>
      </c>
      <c r="B15" s="991" t="s">
        <v>296</v>
      </c>
      <c r="C15" s="310" t="s">
        <v>16</v>
      </c>
      <c r="D15" s="310" t="s">
        <v>218</v>
      </c>
    </row>
    <row r="16" spans="1:4" ht="45" customHeight="1" thickBot="1" x14ac:dyDescent="0.25">
      <c r="A16" s="309">
        <v>11</v>
      </c>
      <c r="B16" s="992" t="s">
        <v>282</v>
      </c>
      <c r="C16" s="310" t="s">
        <v>218</v>
      </c>
      <c r="D16" s="310" t="s">
        <v>218</v>
      </c>
    </row>
    <row r="17" spans="1:4" ht="21.75" customHeight="1" thickBot="1" x14ac:dyDescent="0.25">
      <c r="A17" s="309">
        <v>12</v>
      </c>
      <c r="B17" s="993" t="s">
        <v>297</v>
      </c>
      <c r="C17" s="310" t="s">
        <v>218</v>
      </c>
      <c r="D17" s="310" t="s">
        <v>218</v>
      </c>
    </row>
    <row r="18" spans="1:4" ht="24" customHeight="1" thickBot="1" x14ac:dyDescent="0.25">
      <c r="A18" s="309">
        <v>13</v>
      </c>
      <c r="B18" s="992" t="s">
        <v>283</v>
      </c>
      <c r="C18" s="310" t="s">
        <v>16</v>
      </c>
      <c r="D18" s="310" t="s">
        <v>218</v>
      </c>
    </row>
    <row r="19" spans="1:4" ht="24.75" customHeight="1" thickBot="1" x14ac:dyDescent="0.25">
      <c r="A19" s="309">
        <v>14</v>
      </c>
      <c r="B19" s="991" t="s">
        <v>298</v>
      </c>
      <c r="C19" s="310" t="s">
        <v>218</v>
      </c>
      <c r="D19" s="310" t="s">
        <v>218</v>
      </c>
    </row>
    <row r="20" spans="1:4" ht="36" customHeight="1" thickBot="1" x14ac:dyDescent="0.25">
      <c r="A20" s="309">
        <v>15</v>
      </c>
      <c r="B20" s="992" t="s">
        <v>281</v>
      </c>
      <c r="C20" s="310" t="s">
        <v>16</v>
      </c>
      <c r="D20" s="310" t="s">
        <v>218</v>
      </c>
    </row>
    <row r="21" spans="1:4" ht="36" customHeight="1" thickBot="1" x14ac:dyDescent="0.25">
      <c r="A21" s="309">
        <v>16</v>
      </c>
      <c r="B21" s="995" t="s">
        <v>299</v>
      </c>
      <c r="C21" s="310" t="s">
        <v>16</v>
      </c>
      <c r="D21" s="310" t="s">
        <v>218</v>
      </c>
    </row>
    <row r="22" spans="1:4" ht="49.5" customHeight="1" thickBot="1" x14ac:dyDescent="0.25">
      <c r="A22" s="310">
        <v>17</v>
      </c>
      <c r="B22" s="991" t="s">
        <v>269</v>
      </c>
      <c r="C22" s="996" t="s">
        <v>218</v>
      </c>
      <c r="D22" s="310" t="s">
        <v>218</v>
      </c>
    </row>
    <row r="23" spans="1:4" ht="34.5" customHeight="1" thickBot="1" x14ac:dyDescent="0.25">
      <c r="A23" s="406">
        <v>18</v>
      </c>
      <c r="B23" s="997" t="s">
        <v>286</v>
      </c>
      <c r="C23" s="996" t="s">
        <v>218</v>
      </c>
      <c r="D23" s="310" t="s">
        <v>218</v>
      </c>
    </row>
    <row r="24" spans="1:4" ht="38.25" customHeight="1" thickBot="1" x14ac:dyDescent="0.25">
      <c r="A24" s="309">
        <v>19</v>
      </c>
      <c r="B24" s="541" t="s">
        <v>300</v>
      </c>
      <c r="C24" s="310" t="s">
        <v>218</v>
      </c>
      <c r="D24" s="310" t="s">
        <v>218</v>
      </c>
    </row>
    <row r="25" spans="1:4" ht="36" customHeight="1" thickBot="1" x14ac:dyDescent="0.25">
      <c r="A25" s="309">
        <v>20</v>
      </c>
      <c r="B25" s="991" t="s">
        <v>270</v>
      </c>
      <c r="C25" s="310" t="s">
        <v>218</v>
      </c>
      <c r="D25" s="310" t="s">
        <v>218</v>
      </c>
    </row>
    <row r="26" spans="1:4" ht="36.75" customHeight="1" thickBot="1" x14ac:dyDescent="0.25">
      <c r="A26" s="309">
        <v>21</v>
      </c>
      <c r="B26" s="991" t="s">
        <v>274</v>
      </c>
      <c r="C26" s="310" t="s">
        <v>218</v>
      </c>
      <c r="D26" s="310" t="s">
        <v>218</v>
      </c>
    </row>
    <row r="27" spans="1:4" ht="36" customHeight="1" thickBot="1" x14ac:dyDescent="0.25">
      <c r="A27" s="309">
        <v>22</v>
      </c>
      <c r="B27" s="541" t="s">
        <v>301</v>
      </c>
      <c r="C27" s="310" t="s">
        <v>218</v>
      </c>
      <c r="D27" s="310" t="s">
        <v>218</v>
      </c>
    </row>
    <row r="28" spans="1:4" ht="19.5" customHeight="1" thickBot="1" x14ac:dyDescent="0.25">
      <c r="A28" s="309">
        <v>23</v>
      </c>
      <c r="B28" s="991" t="s">
        <v>275</v>
      </c>
      <c r="C28" s="310" t="s">
        <v>218</v>
      </c>
      <c r="D28" s="310" t="s">
        <v>218</v>
      </c>
    </row>
    <row r="29" spans="1:4" ht="51.75" customHeight="1" thickBot="1" x14ac:dyDescent="0.25">
      <c r="A29" s="310">
        <v>24</v>
      </c>
      <c r="B29" s="992" t="s">
        <v>276</v>
      </c>
      <c r="C29" s="310" t="s">
        <v>218</v>
      </c>
      <c r="D29" s="310" t="s">
        <v>218</v>
      </c>
    </row>
    <row r="30" spans="1:4" ht="50.25" customHeight="1" thickBot="1" x14ac:dyDescent="0.25">
      <c r="A30" s="310">
        <v>25</v>
      </c>
      <c r="B30" s="991" t="s">
        <v>277</v>
      </c>
      <c r="C30" s="310" t="s">
        <v>218</v>
      </c>
      <c r="D30" s="310" t="s">
        <v>218</v>
      </c>
    </row>
    <row r="31" spans="1:4" ht="48.6" customHeight="1" thickBot="1" x14ac:dyDescent="0.25">
      <c r="A31" s="309">
        <v>26</v>
      </c>
      <c r="B31" s="992" t="s">
        <v>278</v>
      </c>
      <c r="C31" s="310" t="s">
        <v>218</v>
      </c>
      <c r="D31" s="310" t="s">
        <v>218</v>
      </c>
    </row>
    <row r="32" spans="1:4" ht="47.1" customHeight="1" thickBot="1" x14ac:dyDescent="0.25">
      <c r="A32" s="310">
        <v>27</v>
      </c>
      <c r="B32" s="991" t="s">
        <v>279</v>
      </c>
      <c r="C32" s="310" t="s">
        <v>218</v>
      </c>
      <c r="D32" s="310" t="s">
        <v>218</v>
      </c>
    </row>
    <row r="33" spans="1:4" ht="54" customHeight="1" thickBot="1" x14ac:dyDescent="0.25">
      <c r="A33" s="309">
        <v>28</v>
      </c>
      <c r="B33" s="992" t="s">
        <v>280</v>
      </c>
      <c r="C33" s="310" t="s">
        <v>218</v>
      </c>
      <c r="D33" s="310" t="s">
        <v>218</v>
      </c>
    </row>
    <row r="34" spans="1:4" ht="53.25" customHeight="1" thickBot="1" x14ac:dyDescent="0.25">
      <c r="A34" s="310">
        <v>29</v>
      </c>
      <c r="B34" s="991" t="s">
        <v>272</v>
      </c>
      <c r="C34" s="310" t="s">
        <v>218</v>
      </c>
      <c r="D34" s="310" t="s">
        <v>218</v>
      </c>
    </row>
    <row r="35" spans="1:4" ht="52.5" customHeight="1" thickBot="1" x14ac:dyDescent="0.25">
      <c r="A35" s="309">
        <v>30</v>
      </c>
      <c r="B35" s="991" t="s">
        <v>273</v>
      </c>
      <c r="C35" s="310" t="s">
        <v>218</v>
      </c>
      <c r="D35" s="310" t="s">
        <v>218</v>
      </c>
    </row>
    <row r="36" spans="1:4" ht="30" customHeight="1" x14ac:dyDescent="0.2">
      <c r="A36" s="915" t="s">
        <v>673</v>
      </c>
      <c r="B36" s="998"/>
      <c r="C36" s="998"/>
      <c r="D36" s="998"/>
    </row>
    <row r="37" spans="1:4" ht="22.15" customHeight="1" x14ac:dyDescent="0.2"/>
    <row r="38" spans="1:4" ht="31.15" customHeight="1" x14ac:dyDescent="0.25">
      <c r="A38" s="913" t="s">
        <v>385</v>
      </c>
      <c r="B38" s="913"/>
      <c r="C38" s="160" t="s">
        <v>162</v>
      </c>
      <c r="D38" s="160" t="s">
        <v>310</v>
      </c>
    </row>
    <row r="39" spans="1:4" ht="15.75" x14ac:dyDescent="0.25">
      <c r="A39" s="160"/>
      <c r="B39" s="160"/>
      <c r="C39" s="160"/>
      <c r="D39" s="160"/>
    </row>
    <row r="40" spans="1:4" ht="15.75" x14ac:dyDescent="0.25">
      <c r="A40" s="160"/>
      <c r="B40" s="160"/>
      <c r="C40" s="160"/>
      <c r="D40" s="160"/>
    </row>
    <row r="41" spans="1:4" ht="23.25" customHeight="1" x14ac:dyDescent="0.25">
      <c r="A41" s="913" t="s">
        <v>388</v>
      </c>
      <c r="B41" s="913"/>
      <c r="C41" s="160" t="s">
        <v>162</v>
      </c>
      <c r="D41" s="160" t="s">
        <v>307</v>
      </c>
    </row>
    <row r="42" spans="1:4" x14ac:dyDescent="0.2">
      <c r="A42" s="10"/>
      <c r="B42" s="10"/>
      <c r="C42" s="10"/>
      <c r="D42" s="10"/>
    </row>
  </sheetData>
  <mergeCells count="8">
    <mergeCell ref="C4:D4"/>
    <mergeCell ref="A4:A5"/>
    <mergeCell ref="B4:B5"/>
    <mergeCell ref="A2:D2"/>
    <mergeCell ref="A41:B41"/>
    <mergeCell ref="A38:B38"/>
    <mergeCell ref="A3:D3"/>
    <mergeCell ref="A36:D36"/>
  </mergeCells>
  <pageMargins left="0.31496062992125984" right="0.31496062992125984" top="0.74803149606299213" bottom="0.74803149606299213" header="0" footer="0"/>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3"/>
  <sheetViews>
    <sheetView topLeftCell="A22" zoomScale="80" zoomScaleNormal="80" workbookViewId="0">
      <selection activeCell="C28" sqref="C28"/>
    </sheetView>
  </sheetViews>
  <sheetFormatPr defaultColWidth="8.85546875" defaultRowHeight="12.75" x14ac:dyDescent="0.2"/>
  <cols>
    <col min="1" max="1" width="38.85546875" style="2" customWidth="1"/>
    <col min="2" max="2" width="18.85546875" style="2" customWidth="1"/>
    <col min="3" max="3" width="18" style="2" customWidth="1"/>
    <col min="4" max="4" width="24.28515625" style="2" customWidth="1"/>
    <col min="5" max="5" width="18.7109375" style="2" customWidth="1"/>
    <col min="6" max="6" width="20.42578125" style="2" customWidth="1"/>
    <col min="7" max="7" width="19.42578125" style="2" customWidth="1"/>
    <col min="8" max="8" width="8.85546875" style="2"/>
    <col min="9" max="9" width="20.85546875" style="2" customWidth="1"/>
    <col min="10" max="10" width="14" style="2" customWidth="1"/>
    <col min="11" max="11" width="8.85546875" style="2"/>
    <col min="12" max="12" width="22.42578125" style="2" customWidth="1"/>
    <col min="13" max="13" width="8.85546875" style="2"/>
    <col min="14" max="14" width="12.5703125" style="2" customWidth="1"/>
    <col min="15" max="15" width="19.42578125" style="2" customWidth="1"/>
    <col min="16" max="16384" width="8.85546875" style="2"/>
  </cols>
  <sheetData>
    <row r="1" spans="1:6" ht="91.5" customHeight="1" x14ac:dyDescent="0.2">
      <c r="D1" s="689" t="s">
        <v>444</v>
      </c>
      <c r="E1" s="877"/>
    </row>
    <row r="3" spans="1:6" ht="25.9" customHeight="1" x14ac:dyDescent="0.2">
      <c r="A3" s="917" t="s">
        <v>445</v>
      </c>
      <c r="B3" s="918"/>
      <c r="C3" s="918"/>
      <c r="D3" s="918"/>
      <c r="E3" s="542"/>
    </row>
    <row r="4" spans="1:6" ht="42" customHeight="1" x14ac:dyDescent="0.2">
      <c r="A4" s="918"/>
      <c r="B4" s="918"/>
      <c r="C4" s="918"/>
      <c r="D4" s="918"/>
      <c r="E4" s="542"/>
    </row>
    <row r="5" spans="1:6" x14ac:dyDescent="0.2">
      <c r="A5" s="10" t="s">
        <v>106</v>
      </c>
    </row>
    <row r="6" spans="1:6" ht="292.5" customHeight="1" x14ac:dyDescent="0.2">
      <c r="A6" s="529" t="s">
        <v>159</v>
      </c>
      <c r="B6" s="529" t="s">
        <v>177</v>
      </c>
      <c r="C6" s="529" t="s">
        <v>178</v>
      </c>
      <c r="D6" s="529" t="s">
        <v>179</v>
      </c>
      <c r="E6" s="529" t="s">
        <v>198</v>
      </c>
      <c r="F6" s="529" t="s">
        <v>605</v>
      </c>
    </row>
    <row r="7" spans="1:6" ht="15.75" x14ac:dyDescent="0.2">
      <c r="A7" s="529">
        <v>1</v>
      </c>
      <c r="B7" s="529">
        <v>2</v>
      </c>
      <c r="C7" s="529">
        <v>3</v>
      </c>
      <c r="D7" s="529">
        <v>4</v>
      </c>
      <c r="E7" s="529">
        <v>5</v>
      </c>
      <c r="F7" s="416">
        <v>6</v>
      </c>
    </row>
    <row r="8" spans="1:6" ht="30" x14ac:dyDescent="0.2">
      <c r="A8" s="538" t="s">
        <v>268</v>
      </c>
      <c r="B8" s="131">
        <v>161</v>
      </c>
      <c r="C8" s="131">
        <v>2003</v>
      </c>
      <c r="D8" s="1002">
        <v>13001.5</v>
      </c>
      <c r="E8" s="131">
        <v>85</v>
      </c>
      <c r="F8" s="416">
        <v>42</v>
      </c>
    </row>
    <row r="9" spans="1:6" ht="30" x14ac:dyDescent="0.2">
      <c r="A9" s="538" t="s">
        <v>292</v>
      </c>
      <c r="B9" s="131">
        <v>41</v>
      </c>
      <c r="C9" s="131">
        <v>1355</v>
      </c>
      <c r="D9" s="1002">
        <v>3941.3</v>
      </c>
      <c r="E9" s="131">
        <v>33</v>
      </c>
      <c r="F9" s="416">
        <v>0</v>
      </c>
    </row>
    <row r="10" spans="1:6" ht="30" x14ac:dyDescent="0.2">
      <c r="A10" s="538" t="s">
        <v>291</v>
      </c>
      <c r="B10" s="131">
        <v>21</v>
      </c>
      <c r="C10" s="131">
        <v>1138</v>
      </c>
      <c r="D10" s="1002">
        <v>10284.4</v>
      </c>
      <c r="E10" s="131">
        <v>20</v>
      </c>
      <c r="F10" s="416">
        <v>0</v>
      </c>
    </row>
    <row r="11" spans="1:6" ht="30" x14ac:dyDescent="0.2">
      <c r="A11" s="538" t="s">
        <v>271</v>
      </c>
      <c r="B11" s="131">
        <v>64</v>
      </c>
      <c r="C11" s="131">
        <v>1371</v>
      </c>
      <c r="D11" s="1002">
        <v>102419.1</v>
      </c>
      <c r="E11" s="131">
        <v>63</v>
      </c>
      <c r="F11" s="416">
        <v>14</v>
      </c>
    </row>
    <row r="12" spans="1:6" ht="30" x14ac:dyDescent="0.2">
      <c r="A12" s="538" t="s">
        <v>320</v>
      </c>
      <c r="B12" s="131">
        <v>10</v>
      </c>
      <c r="C12" s="131">
        <v>300</v>
      </c>
      <c r="D12" s="1002">
        <v>117125.7</v>
      </c>
      <c r="E12" s="131">
        <v>5</v>
      </c>
      <c r="F12" s="416">
        <v>0</v>
      </c>
    </row>
    <row r="13" spans="1:6" ht="15.75" x14ac:dyDescent="0.2">
      <c r="A13" s="540" t="s">
        <v>293</v>
      </c>
      <c r="B13" s="131">
        <v>22</v>
      </c>
      <c r="C13" s="131">
        <v>890</v>
      </c>
      <c r="D13" s="1002">
        <v>8254.7999999999993</v>
      </c>
      <c r="E13" s="131">
        <v>32</v>
      </c>
      <c r="F13" s="416">
        <v>8</v>
      </c>
    </row>
    <row r="14" spans="1:6" ht="15.75" x14ac:dyDescent="0.2">
      <c r="A14" s="538" t="s">
        <v>294</v>
      </c>
      <c r="B14" s="131">
        <v>12</v>
      </c>
      <c r="C14" s="131">
        <v>264</v>
      </c>
      <c r="D14" s="1002">
        <v>1041.0999999999999</v>
      </c>
      <c r="E14" s="131">
        <v>10</v>
      </c>
      <c r="F14" s="416">
        <v>1</v>
      </c>
    </row>
    <row r="15" spans="1:6" ht="15.75" x14ac:dyDescent="0.2">
      <c r="A15" s="540" t="s">
        <v>295</v>
      </c>
      <c r="B15" s="131">
        <v>33</v>
      </c>
      <c r="C15" s="131">
        <v>579</v>
      </c>
      <c r="D15" s="1002">
        <v>53575.6</v>
      </c>
      <c r="E15" s="131">
        <v>58</v>
      </c>
      <c r="F15" s="416">
        <v>9</v>
      </c>
    </row>
    <row r="16" spans="1:6" ht="15.75" x14ac:dyDescent="0.2">
      <c r="A16" s="540" t="s">
        <v>290</v>
      </c>
      <c r="B16" s="131">
        <v>16</v>
      </c>
      <c r="C16" s="131">
        <v>462</v>
      </c>
      <c r="D16" s="1002">
        <v>6156.8</v>
      </c>
      <c r="E16" s="131">
        <v>35</v>
      </c>
      <c r="F16" s="416">
        <v>8</v>
      </c>
    </row>
    <row r="17" spans="1:6" ht="15.75" x14ac:dyDescent="0.2">
      <c r="A17" s="538" t="s">
        <v>296</v>
      </c>
      <c r="B17" s="131">
        <v>27</v>
      </c>
      <c r="C17" s="131">
        <v>444</v>
      </c>
      <c r="D17" s="1002">
        <v>11943.6</v>
      </c>
      <c r="E17" s="131">
        <v>63</v>
      </c>
      <c r="F17" s="416">
        <v>13</v>
      </c>
    </row>
    <row r="18" spans="1:6" ht="34.5" customHeight="1" x14ac:dyDescent="0.2">
      <c r="A18" s="538" t="s">
        <v>282</v>
      </c>
      <c r="B18" s="131">
        <v>71</v>
      </c>
      <c r="C18" s="131">
        <v>648</v>
      </c>
      <c r="D18" s="1002">
        <v>1602.9</v>
      </c>
      <c r="E18" s="131">
        <v>14</v>
      </c>
      <c r="F18" s="416">
        <v>1</v>
      </c>
    </row>
    <row r="19" spans="1:6" ht="24.75" customHeight="1" x14ac:dyDescent="0.2">
      <c r="A19" s="540" t="s">
        <v>297</v>
      </c>
      <c r="B19" s="131">
        <v>65</v>
      </c>
      <c r="C19" s="131">
        <v>857</v>
      </c>
      <c r="D19" s="1002">
        <v>197747.7</v>
      </c>
      <c r="E19" s="131">
        <v>44</v>
      </c>
      <c r="F19" s="416">
        <v>6</v>
      </c>
    </row>
    <row r="20" spans="1:6" ht="23.25" customHeight="1" x14ac:dyDescent="0.2">
      <c r="A20" s="538" t="s">
        <v>283</v>
      </c>
      <c r="B20" s="131">
        <v>93</v>
      </c>
      <c r="C20" s="131">
        <v>920</v>
      </c>
      <c r="D20" s="1002">
        <v>3789</v>
      </c>
      <c r="E20" s="131">
        <v>8</v>
      </c>
      <c r="F20" s="416">
        <v>0</v>
      </c>
    </row>
    <row r="21" spans="1:6" ht="22.5" customHeight="1" x14ac:dyDescent="0.2">
      <c r="A21" s="538" t="s">
        <v>298</v>
      </c>
      <c r="B21" s="131">
        <v>1531</v>
      </c>
      <c r="C21" s="131">
        <v>24237</v>
      </c>
      <c r="D21" s="1002">
        <v>198295.1</v>
      </c>
      <c r="E21" s="131">
        <v>59</v>
      </c>
      <c r="F21" s="416">
        <v>16</v>
      </c>
    </row>
    <row r="22" spans="1:6" ht="36.75" customHeight="1" x14ac:dyDescent="0.2">
      <c r="A22" s="538" t="s">
        <v>281</v>
      </c>
      <c r="B22" s="131">
        <v>101</v>
      </c>
      <c r="C22" s="131">
        <v>1049</v>
      </c>
      <c r="D22" s="1002">
        <v>6402.3</v>
      </c>
      <c r="E22" s="131">
        <v>30</v>
      </c>
      <c r="F22" s="416">
        <v>0</v>
      </c>
    </row>
    <row r="23" spans="1:6" ht="36.75" customHeight="1" x14ac:dyDescent="0.2">
      <c r="A23" s="538" t="s">
        <v>299</v>
      </c>
      <c r="B23" s="131">
        <v>338</v>
      </c>
      <c r="C23" s="131">
        <v>3408</v>
      </c>
      <c r="D23" s="1002">
        <v>16083.4</v>
      </c>
      <c r="E23" s="131">
        <v>13</v>
      </c>
      <c r="F23" s="416">
        <v>1</v>
      </c>
    </row>
    <row r="24" spans="1:6" ht="44.25" customHeight="1" x14ac:dyDescent="0.2">
      <c r="A24" s="538" t="s">
        <v>269</v>
      </c>
      <c r="B24" s="131">
        <v>302</v>
      </c>
      <c r="C24" s="131">
        <v>3618</v>
      </c>
      <c r="D24" s="1002">
        <v>46512.9</v>
      </c>
      <c r="E24" s="131">
        <v>17</v>
      </c>
      <c r="F24" s="416">
        <v>32</v>
      </c>
    </row>
    <row r="25" spans="1:6" ht="36.75" customHeight="1" x14ac:dyDescent="0.2">
      <c r="A25" s="538" t="s">
        <v>286</v>
      </c>
      <c r="B25" s="131">
        <v>59</v>
      </c>
      <c r="C25" s="131">
        <v>434</v>
      </c>
      <c r="D25" s="1002">
        <v>134.5</v>
      </c>
      <c r="E25" s="131">
        <v>8</v>
      </c>
      <c r="F25" s="416">
        <v>9</v>
      </c>
    </row>
    <row r="26" spans="1:6" ht="36.75" customHeight="1" x14ac:dyDescent="0.2">
      <c r="A26" s="538" t="s">
        <v>300</v>
      </c>
      <c r="B26" s="131">
        <v>226</v>
      </c>
      <c r="C26" s="131">
        <v>1539</v>
      </c>
      <c r="D26" s="1002">
        <v>35548.699999999997</v>
      </c>
      <c r="E26" s="131">
        <v>49</v>
      </c>
      <c r="F26" s="416">
        <v>0</v>
      </c>
    </row>
    <row r="27" spans="1:6" ht="36.75" customHeight="1" x14ac:dyDescent="0.2">
      <c r="A27" s="538" t="s">
        <v>270</v>
      </c>
      <c r="B27" s="131">
        <v>127</v>
      </c>
      <c r="C27" s="131">
        <v>713</v>
      </c>
      <c r="D27" s="1002">
        <v>3568.6</v>
      </c>
      <c r="E27" s="131">
        <v>7</v>
      </c>
      <c r="F27" s="416">
        <v>23</v>
      </c>
    </row>
    <row r="28" spans="1:6" ht="36.75" customHeight="1" x14ac:dyDescent="0.2">
      <c r="A28" s="538" t="s">
        <v>274</v>
      </c>
      <c r="B28" s="131">
        <v>15</v>
      </c>
      <c r="C28" s="131">
        <v>210</v>
      </c>
      <c r="D28" s="1002">
        <v>122.7</v>
      </c>
      <c r="E28" s="131">
        <v>4</v>
      </c>
      <c r="F28" s="416">
        <v>0</v>
      </c>
    </row>
    <row r="29" spans="1:6" ht="30" x14ac:dyDescent="0.2">
      <c r="A29" s="538" t="s">
        <v>301</v>
      </c>
      <c r="B29" s="131">
        <v>14</v>
      </c>
      <c r="C29" s="131">
        <v>375</v>
      </c>
      <c r="D29" s="1002">
        <v>2069</v>
      </c>
      <c r="E29" s="131">
        <v>8</v>
      </c>
      <c r="F29" s="416">
        <v>0</v>
      </c>
    </row>
    <row r="30" spans="1:6" ht="35.25" customHeight="1" x14ac:dyDescent="0.2">
      <c r="A30" s="538" t="s">
        <v>275</v>
      </c>
      <c r="B30" s="131">
        <v>107</v>
      </c>
      <c r="C30" s="131">
        <v>654</v>
      </c>
      <c r="D30" s="1002">
        <v>134059.9</v>
      </c>
      <c r="E30" s="131">
        <v>83</v>
      </c>
      <c r="F30" s="416">
        <v>35</v>
      </c>
    </row>
    <row r="31" spans="1:6" ht="45" x14ac:dyDescent="0.2">
      <c r="A31" s="538" t="s">
        <v>276</v>
      </c>
      <c r="B31" s="131">
        <v>34</v>
      </c>
      <c r="C31" s="131">
        <v>493</v>
      </c>
      <c r="D31" s="1002">
        <v>1504.8</v>
      </c>
      <c r="E31" s="131">
        <v>13</v>
      </c>
      <c r="F31" s="416">
        <v>0</v>
      </c>
    </row>
    <row r="32" spans="1:6" ht="54" customHeight="1" x14ac:dyDescent="0.2">
      <c r="A32" s="538" t="s">
        <v>277</v>
      </c>
      <c r="B32" s="131">
        <v>33</v>
      </c>
      <c r="C32" s="131">
        <v>503</v>
      </c>
      <c r="D32" s="1002">
        <v>1714.4</v>
      </c>
      <c r="E32" s="131">
        <v>16</v>
      </c>
      <c r="F32" s="416">
        <v>0</v>
      </c>
    </row>
    <row r="33" spans="1:6" ht="45" x14ac:dyDescent="0.2">
      <c r="A33" s="538" t="s">
        <v>278</v>
      </c>
      <c r="B33" s="131">
        <v>52</v>
      </c>
      <c r="C33" s="131">
        <v>570</v>
      </c>
      <c r="D33" s="1002">
        <v>3294.7</v>
      </c>
      <c r="E33" s="131">
        <v>24</v>
      </c>
      <c r="F33" s="416">
        <v>0</v>
      </c>
    </row>
    <row r="34" spans="1:6" ht="49.5" customHeight="1" x14ac:dyDescent="0.2">
      <c r="A34" s="538" t="s">
        <v>279</v>
      </c>
      <c r="B34" s="131">
        <v>24</v>
      </c>
      <c r="C34" s="131">
        <v>460</v>
      </c>
      <c r="D34" s="1002">
        <v>1558.2</v>
      </c>
      <c r="E34" s="131">
        <v>9</v>
      </c>
      <c r="F34" s="416">
        <v>0</v>
      </c>
    </row>
    <row r="35" spans="1:6" ht="57.75" customHeight="1" x14ac:dyDescent="0.2">
      <c r="A35" s="538" t="s">
        <v>280</v>
      </c>
      <c r="B35" s="131">
        <v>64</v>
      </c>
      <c r="C35" s="131">
        <v>616</v>
      </c>
      <c r="D35" s="1002">
        <v>9495.7999999999993</v>
      </c>
      <c r="E35" s="131">
        <v>21</v>
      </c>
      <c r="F35" s="416">
        <v>2</v>
      </c>
    </row>
    <row r="36" spans="1:6" ht="46.5" customHeight="1" x14ac:dyDescent="0.2">
      <c r="A36" s="538" t="s">
        <v>272</v>
      </c>
      <c r="B36" s="131">
        <v>21</v>
      </c>
      <c r="C36" s="131">
        <v>448</v>
      </c>
      <c r="D36" s="1002">
        <v>3953.7</v>
      </c>
      <c r="E36" s="131">
        <v>14</v>
      </c>
      <c r="F36" s="416">
        <v>0</v>
      </c>
    </row>
    <row r="37" spans="1:6" ht="50.25" customHeight="1" x14ac:dyDescent="0.2">
      <c r="A37" s="538" t="s">
        <v>273</v>
      </c>
      <c r="B37" s="131">
        <v>22</v>
      </c>
      <c r="C37" s="131">
        <v>503</v>
      </c>
      <c r="D37" s="1002">
        <v>14539.4</v>
      </c>
      <c r="E37" s="131">
        <v>21</v>
      </c>
      <c r="F37" s="416">
        <v>0</v>
      </c>
    </row>
    <row r="38" spans="1:6" ht="15.75" x14ac:dyDescent="0.25">
      <c r="A38" s="5"/>
      <c r="B38" s="254">
        <f>SUM(B8:B37)</f>
        <v>3706</v>
      </c>
      <c r="C38" s="254">
        <f>SUM(C8:C37)</f>
        <v>51061</v>
      </c>
      <c r="D38" s="315">
        <f>SUM(D8:D37)</f>
        <v>1009741.6</v>
      </c>
      <c r="E38" s="254">
        <f>SUM(E8:E37)</f>
        <v>866</v>
      </c>
      <c r="F38" s="416">
        <f>SUM(F8:F37)</f>
        <v>220</v>
      </c>
    </row>
    <row r="39" spans="1:6" ht="15.75" x14ac:dyDescent="0.25">
      <c r="A39" s="252"/>
      <c r="B39" s="253"/>
      <c r="C39" s="252"/>
      <c r="D39" s="252"/>
      <c r="E39" s="252"/>
    </row>
    <row r="40" spans="1:6" ht="15" x14ac:dyDescent="0.25">
      <c r="A40" s="52" t="s">
        <v>309</v>
      </c>
      <c r="B40" s="10"/>
      <c r="C40" s="11"/>
      <c r="D40" s="12" t="s">
        <v>310</v>
      </c>
      <c r="E40" s="12"/>
      <c r="F40" s="10"/>
    </row>
    <row r="41" spans="1:6" x14ac:dyDescent="0.2">
      <c r="A41" s="13" t="s">
        <v>429</v>
      </c>
      <c r="B41" s="10"/>
      <c r="C41" s="10"/>
      <c r="D41" s="14"/>
      <c r="E41" s="14"/>
      <c r="F41" s="10"/>
    </row>
    <row r="42" spans="1:6" ht="2.25" customHeight="1" x14ac:dyDescent="0.2">
      <c r="A42" s="15"/>
      <c r="B42" s="10"/>
      <c r="C42" s="10"/>
      <c r="D42" s="10"/>
      <c r="E42" s="10"/>
      <c r="F42" s="10"/>
    </row>
    <row r="43" spans="1:6" ht="15" hidden="1" x14ac:dyDescent="0.25">
      <c r="A43" s="6"/>
      <c r="B43" s="10"/>
      <c r="C43" s="10"/>
      <c r="D43" s="10"/>
      <c r="E43" s="10"/>
      <c r="F43" s="10"/>
    </row>
    <row r="44" spans="1:6" ht="3" customHeight="1" x14ac:dyDescent="0.2">
      <c r="A44" s="16"/>
      <c r="B44" s="10"/>
      <c r="C44" s="10"/>
      <c r="D44" s="10"/>
      <c r="E44" s="10"/>
      <c r="F44" s="10"/>
    </row>
    <row r="45" spans="1:6" ht="15" x14ac:dyDescent="0.25">
      <c r="A45" s="6" t="s">
        <v>180</v>
      </c>
      <c r="B45" s="17"/>
      <c r="C45" s="18" t="s">
        <v>216</v>
      </c>
      <c r="D45" s="19" t="s">
        <v>310</v>
      </c>
      <c r="E45" s="18"/>
      <c r="F45" s="10"/>
    </row>
    <row r="46" spans="1:6" x14ac:dyDescent="0.2">
      <c r="A46" s="13" t="s">
        <v>311</v>
      </c>
      <c r="B46" s="10"/>
      <c r="C46" s="10"/>
      <c r="D46" s="10"/>
      <c r="E46" s="10"/>
      <c r="F46" s="10"/>
    </row>
    <row r="47" spans="1:6" ht="15.75" x14ac:dyDescent="0.25">
      <c r="A47" s="20"/>
    </row>
    <row r="48" spans="1:6" ht="15.75" x14ac:dyDescent="0.25">
      <c r="A48" s="200" t="s">
        <v>482</v>
      </c>
    </row>
    <row r="49" spans="1:15" x14ac:dyDescent="0.2">
      <c r="A49" s="21"/>
    </row>
    <row r="51" spans="1:15" ht="15" x14ac:dyDescent="0.2">
      <c r="A51" s="493" t="s">
        <v>431</v>
      </c>
    </row>
    <row r="52" spans="1:15" ht="126" customHeight="1" x14ac:dyDescent="0.2">
      <c r="A52" s="199" t="s">
        <v>159</v>
      </c>
      <c r="B52" s="702" t="s">
        <v>592</v>
      </c>
      <c r="C52" s="702" t="s">
        <v>593</v>
      </c>
      <c r="D52" s="201" t="s">
        <v>594</v>
      </c>
      <c r="E52" s="161" t="s">
        <v>176</v>
      </c>
      <c r="F52" s="635" t="s">
        <v>591</v>
      </c>
      <c r="G52" s="635"/>
      <c r="H52" s="635"/>
      <c r="I52" s="679" t="s">
        <v>599</v>
      </c>
      <c r="J52" s="679"/>
      <c r="K52" s="679"/>
      <c r="L52" s="679" t="s">
        <v>600</v>
      </c>
      <c r="M52" s="679"/>
      <c r="N52" s="674" t="s">
        <v>603</v>
      </c>
      <c r="O52" s="676"/>
    </row>
    <row r="53" spans="1:15" ht="59.25" customHeight="1" x14ac:dyDescent="0.2">
      <c r="A53" s="199"/>
      <c r="B53" s="919"/>
      <c r="C53" s="919"/>
      <c r="D53" s="467" t="s">
        <v>595</v>
      </c>
      <c r="E53" s="467" t="s">
        <v>596</v>
      </c>
      <c r="F53" s="208" t="s">
        <v>598</v>
      </c>
      <c r="G53" s="209" t="s">
        <v>183</v>
      </c>
      <c r="H53" s="208" t="s">
        <v>12</v>
      </c>
      <c r="I53" s="208" t="s">
        <v>597</v>
      </c>
      <c r="J53" s="209" t="s">
        <v>183</v>
      </c>
      <c r="K53" s="209" t="s">
        <v>12</v>
      </c>
      <c r="L53" s="209" t="s">
        <v>209</v>
      </c>
      <c r="M53" s="209" t="s">
        <v>12</v>
      </c>
      <c r="N53" s="467" t="s">
        <v>604</v>
      </c>
      <c r="O53" s="467" t="s">
        <v>622</v>
      </c>
    </row>
    <row r="54" spans="1:15" ht="177.75" customHeight="1" x14ac:dyDescent="0.2">
      <c r="A54" s="538" t="s">
        <v>268</v>
      </c>
      <c r="B54" s="145">
        <f>B8</f>
        <v>161</v>
      </c>
      <c r="C54" s="145">
        <f>C8</f>
        <v>2003</v>
      </c>
      <c r="D54" s="578">
        <f>D8</f>
        <v>13001.5</v>
      </c>
      <c r="E54" s="578">
        <f>'приложение 3'!G18</f>
        <v>14263.5</v>
      </c>
      <c r="F54" s="970">
        <f>B54/C54*100</f>
        <v>8.0379430853719409</v>
      </c>
      <c r="G54" s="532" t="s">
        <v>392</v>
      </c>
      <c r="H54" s="536">
        <v>0</v>
      </c>
      <c r="I54" s="145">
        <f>D54/E54*100</f>
        <v>91.152241735899324</v>
      </c>
      <c r="J54" s="531" t="s">
        <v>726</v>
      </c>
      <c r="K54" s="532">
        <v>0</v>
      </c>
      <c r="L54" s="312">
        <f>E8</f>
        <v>85</v>
      </c>
      <c r="M54" s="999">
        <v>0.2</v>
      </c>
      <c r="N54" s="953">
        <f t="shared" ref="N54:N63" si="0">F8</f>
        <v>42</v>
      </c>
      <c r="O54" s="953">
        <v>0</v>
      </c>
    </row>
    <row r="55" spans="1:15" ht="69.75" customHeight="1" x14ac:dyDescent="0.2">
      <c r="A55" s="538" t="s">
        <v>292</v>
      </c>
      <c r="B55" s="145">
        <f t="shared" ref="B55:D83" si="1">B9</f>
        <v>41</v>
      </c>
      <c r="C55" s="145">
        <f t="shared" si="1"/>
        <v>1355</v>
      </c>
      <c r="D55" s="578">
        <f t="shared" si="1"/>
        <v>3941.3</v>
      </c>
      <c r="E55" s="578">
        <f>'приложение 3'!G19</f>
        <v>4722.6000000000004</v>
      </c>
      <c r="F55" s="970">
        <f t="shared" ref="F55:F83" si="2">B55/C55*100</f>
        <v>3.0258302583025829</v>
      </c>
      <c r="G55" s="532" t="s">
        <v>184</v>
      </c>
      <c r="H55" s="536">
        <v>0</v>
      </c>
      <c r="I55" s="145">
        <f t="shared" ref="I55:I73" si="3">D55/E55*100</f>
        <v>83.456147037648748</v>
      </c>
      <c r="J55" s="532" t="s">
        <v>237</v>
      </c>
      <c r="K55" s="532">
        <v>0</v>
      </c>
      <c r="L55" s="312">
        <f t="shared" ref="L55:L83" si="4">E9</f>
        <v>33</v>
      </c>
      <c r="M55" s="999">
        <v>0.8</v>
      </c>
      <c r="N55" s="953">
        <f t="shared" si="0"/>
        <v>0</v>
      </c>
      <c r="O55" s="953">
        <v>1</v>
      </c>
    </row>
    <row r="56" spans="1:15" ht="87.75" customHeight="1" x14ac:dyDescent="0.2">
      <c r="A56" s="538" t="s">
        <v>291</v>
      </c>
      <c r="B56" s="145">
        <f t="shared" si="1"/>
        <v>21</v>
      </c>
      <c r="C56" s="145">
        <f t="shared" si="1"/>
        <v>1138</v>
      </c>
      <c r="D56" s="578">
        <f t="shared" si="1"/>
        <v>10284.4</v>
      </c>
      <c r="E56" s="578">
        <f>'приложение 3'!G20</f>
        <v>10284.6</v>
      </c>
      <c r="F56" s="970">
        <f t="shared" si="2"/>
        <v>1.845342706502636</v>
      </c>
      <c r="G56" s="719" t="s">
        <v>391</v>
      </c>
      <c r="H56" s="536">
        <v>1</v>
      </c>
      <c r="I56" s="145">
        <f t="shared" si="3"/>
        <v>99.998055344884577</v>
      </c>
      <c r="J56" s="719" t="s">
        <v>727</v>
      </c>
      <c r="K56" s="532">
        <v>1</v>
      </c>
      <c r="L56" s="312">
        <f t="shared" si="4"/>
        <v>20</v>
      </c>
      <c r="M56" s="999">
        <v>1</v>
      </c>
      <c r="N56" s="953">
        <f t="shared" si="0"/>
        <v>0</v>
      </c>
      <c r="O56" s="953">
        <v>1</v>
      </c>
    </row>
    <row r="57" spans="1:15" ht="100.5" customHeight="1" x14ac:dyDescent="0.2">
      <c r="A57" s="538" t="s">
        <v>271</v>
      </c>
      <c r="B57" s="145">
        <f t="shared" si="1"/>
        <v>64</v>
      </c>
      <c r="C57" s="145">
        <f t="shared" si="1"/>
        <v>1371</v>
      </c>
      <c r="D57" s="578">
        <f t="shared" si="1"/>
        <v>102419.1</v>
      </c>
      <c r="E57" s="578">
        <f>'приложение 3'!G21</f>
        <v>17950.2</v>
      </c>
      <c r="F57" s="970">
        <f t="shared" si="2"/>
        <v>4.6681254558716265</v>
      </c>
      <c r="G57" s="722"/>
      <c r="H57" s="536">
        <v>1</v>
      </c>
      <c r="I57" s="145">
        <f t="shared" si="3"/>
        <v>570.57358692382263</v>
      </c>
      <c r="J57" s="721"/>
      <c r="K57" s="532">
        <v>1</v>
      </c>
      <c r="L57" s="312">
        <f t="shared" si="4"/>
        <v>63</v>
      </c>
      <c r="M57" s="999">
        <v>0.4</v>
      </c>
      <c r="N57" s="965">
        <f t="shared" si="0"/>
        <v>14</v>
      </c>
      <c r="O57" s="953">
        <v>0</v>
      </c>
    </row>
    <row r="58" spans="1:15" ht="67.5" customHeight="1" x14ac:dyDescent="0.2">
      <c r="A58" s="538" t="s">
        <v>320</v>
      </c>
      <c r="B58" s="145">
        <f t="shared" si="1"/>
        <v>10</v>
      </c>
      <c r="C58" s="145">
        <f t="shared" si="1"/>
        <v>300</v>
      </c>
      <c r="D58" s="578">
        <f t="shared" si="1"/>
        <v>117125.7</v>
      </c>
      <c r="E58" s="578">
        <f>'приложение 3'!G22</f>
        <v>63.7</v>
      </c>
      <c r="F58" s="970">
        <f t="shared" si="2"/>
        <v>3.3333333333333335</v>
      </c>
      <c r="G58" s="532" t="s">
        <v>184</v>
      </c>
      <c r="H58" s="536">
        <v>0</v>
      </c>
      <c r="I58" s="145">
        <f t="shared" si="3"/>
        <v>183870.80062794348</v>
      </c>
      <c r="J58" s="719" t="s">
        <v>187</v>
      </c>
      <c r="K58" s="532">
        <v>1</v>
      </c>
      <c r="L58" s="312">
        <f t="shared" si="4"/>
        <v>5</v>
      </c>
      <c r="M58" s="999">
        <v>1</v>
      </c>
      <c r="N58" s="953">
        <f t="shared" si="0"/>
        <v>0</v>
      </c>
      <c r="O58" s="953">
        <v>1</v>
      </c>
    </row>
    <row r="59" spans="1:15" ht="23.25" customHeight="1" x14ac:dyDescent="0.2">
      <c r="A59" s="540" t="s">
        <v>293</v>
      </c>
      <c r="B59" s="145">
        <f t="shared" si="1"/>
        <v>22</v>
      </c>
      <c r="C59" s="145">
        <f t="shared" si="1"/>
        <v>890</v>
      </c>
      <c r="D59" s="578">
        <f t="shared" si="1"/>
        <v>8254.7999999999993</v>
      </c>
      <c r="E59" s="578">
        <f>'приложение 3'!G23</f>
        <v>6561</v>
      </c>
      <c r="F59" s="970">
        <f t="shared" si="2"/>
        <v>2.4719101123595504</v>
      </c>
      <c r="G59" s="532" t="s">
        <v>184</v>
      </c>
      <c r="H59" s="536">
        <v>0</v>
      </c>
      <c r="I59" s="145">
        <f t="shared" si="3"/>
        <v>125.81618655692728</v>
      </c>
      <c r="J59" s="721"/>
      <c r="K59" s="532">
        <v>1</v>
      </c>
      <c r="L59" s="312">
        <f t="shared" si="4"/>
        <v>32</v>
      </c>
      <c r="M59" s="999">
        <v>0.8</v>
      </c>
      <c r="N59" s="953">
        <f t="shared" si="0"/>
        <v>8</v>
      </c>
      <c r="O59" s="953">
        <v>0</v>
      </c>
    </row>
    <row r="60" spans="1:15" ht="24" customHeight="1" x14ac:dyDescent="0.2">
      <c r="A60" s="538" t="s">
        <v>294</v>
      </c>
      <c r="B60" s="145">
        <f t="shared" si="1"/>
        <v>12</v>
      </c>
      <c r="C60" s="145">
        <f t="shared" si="1"/>
        <v>264</v>
      </c>
      <c r="D60" s="578">
        <f t="shared" si="1"/>
        <v>1041.0999999999999</v>
      </c>
      <c r="E60" s="578">
        <f>'приложение 3'!G24</f>
        <v>655.6</v>
      </c>
      <c r="F60" s="970">
        <f t="shared" si="2"/>
        <v>4.5454545454545459</v>
      </c>
      <c r="G60" s="532" t="s">
        <v>184</v>
      </c>
      <c r="H60" s="536">
        <v>0</v>
      </c>
      <c r="I60" s="145">
        <f t="shared" si="3"/>
        <v>158.80109823062841</v>
      </c>
      <c r="J60" s="721"/>
      <c r="K60" s="532">
        <v>1</v>
      </c>
      <c r="L60" s="312">
        <f t="shared" si="4"/>
        <v>10</v>
      </c>
      <c r="M60" s="999">
        <v>1</v>
      </c>
      <c r="N60" s="953">
        <f t="shared" si="0"/>
        <v>1</v>
      </c>
      <c r="O60" s="953">
        <v>0</v>
      </c>
    </row>
    <row r="61" spans="1:15" ht="27.75" customHeight="1" x14ac:dyDescent="0.2">
      <c r="A61" s="540" t="s">
        <v>295</v>
      </c>
      <c r="B61" s="145">
        <f t="shared" si="1"/>
        <v>33</v>
      </c>
      <c r="C61" s="145">
        <f t="shared" si="1"/>
        <v>579</v>
      </c>
      <c r="D61" s="578">
        <f t="shared" si="1"/>
        <v>53575.6</v>
      </c>
      <c r="E61" s="578">
        <f>'приложение 3'!G25</f>
        <v>53361.9</v>
      </c>
      <c r="F61" s="970">
        <f t="shared" si="2"/>
        <v>5.6994818652849739</v>
      </c>
      <c r="G61" s="532" t="s">
        <v>184</v>
      </c>
      <c r="H61" s="536">
        <v>0</v>
      </c>
      <c r="I61" s="145">
        <f t="shared" si="3"/>
        <v>100.40047299665116</v>
      </c>
      <c r="J61" s="722"/>
      <c r="K61" s="532">
        <v>1</v>
      </c>
      <c r="L61" s="312">
        <f t="shared" si="4"/>
        <v>58</v>
      </c>
      <c r="M61" s="999">
        <v>0.4</v>
      </c>
      <c r="N61" s="953">
        <f t="shared" si="0"/>
        <v>9</v>
      </c>
      <c r="O61" s="953">
        <v>0</v>
      </c>
    </row>
    <row r="62" spans="1:15" ht="172.5" customHeight="1" x14ac:dyDescent="0.2">
      <c r="A62" s="540" t="s">
        <v>290</v>
      </c>
      <c r="B62" s="145">
        <f t="shared" si="1"/>
        <v>16</v>
      </c>
      <c r="C62" s="145">
        <f t="shared" si="1"/>
        <v>462</v>
      </c>
      <c r="D62" s="578">
        <f t="shared" si="1"/>
        <v>6156.8</v>
      </c>
      <c r="E62" s="578">
        <f>'приложение 3'!G26</f>
        <v>4941.8999999999996</v>
      </c>
      <c r="F62" s="970">
        <f t="shared" si="2"/>
        <v>3.4632034632034632</v>
      </c>
      <c r="G62" s="532" t="s">
        <v>391</v>
      </c>
      <c r="H62" s="536">
        <v>1</v>
      </c>
      <c r="I62" s="145">
        <f t="shared" si="3"/>
        <v>124.5836621542322</v>
      </c>
      <c r="J62" s="531" t="s">
        <v>727</v>
      </c>
      <c r="K62" s="532">
        <v>1</v>
      </c>
      <c r="L62" s="312">
        <f t="shared" si="4"/>
        <v>35</v>
      </c>
      <c r="M62" s="999">
        <v>0.8</v>
      </c>
      <c r="N62" s="953">
        <f t="shared" si="0"/>
        <v>8</v>
      </c>
      <c r="O62" s="953">
        <v>0</v>
      </c>
    </row>
    <row r="63" spans="1:15" ht="46.5" customHeight="1" x14ac:dyDescent="0.2">
      <c r="A63" s="538" t="s">
        <v>296</v>
      </c>
      <c r="B63" s="145">
        <f t="shared" si="1"/>
        <v>27</v>
      </c>
      <c r="C63" s="145">
        <f t="shared" si="1"/>
        <v>444</v>
      </c>
      <c r="D63" s="578">
        <f t="shared" si="1"/>
        <v>11943.6</v>
      </c>
      <c r="E63" s="578">
        <f>'приложение 3'!G27</f>
        <v>6721.2</v>
      </c>
      <c r="F63" s="970">
        <f t="shared" si="2"/>
        <v>6.0810810810810816</v>
      </c>
      <c r="G63" s="532" t="s">
        <v>184</v>
      </c>
      <c r="H63" s="536">
        <v>0</v>
      </c>
      <c r="I63" s="145">
        <f t="shared" si="3"/>
        <v>177.70041064095699</v>
      </c>
      <c r="J63" s="532" t="s">
        <v>187</v>
      </c>
      <c r="K63" s="532">
        <v>1</v>
      </c>
      <c r="L63" s="312">
        <f t="shared" si="4"/>
        <v>63</v>
      </c>
      <c r="M63" s="999">
        <v>0.4</v>
      </c>
      <c r="N63" s="953">
        <f t="shared" si="0"/>
        <v>13</v>
      </c>
      <c r="O63" s="953">
        <v>0</v>
      </c>
    </row>
    <row r="64" spans="1:15" ht="171.75" customHeight="1" x14ac:dyDescent="0.2">
      <c r="A64" s="538" t="s">
        <v>282</v>
      </c>
      <c r="B64" s="145">
        <f t="shared" si="1"/>
        <v>71</v>
      </c>
      <c r="C64" s="145">
        <f t="shared" si="1"/>
        <v>648</v>
      </c>
      <c r="D64" s="578">
        <f t="shared" si="1"/>
        <v>1602.9</v>
      </c>
      <c r="E64" s="578">
        <f>'приложение 3'!G28</f>
        <v>1613.8</v>
      </c>
      <c r="F64" s="970">
        <f t="shared" si="2"/>
        <v>10.956790123456789</v>
      </c>
      <c r="G64" s="532" t="s">
        <v>392</v>
      </c>
      <c r="H64" s="536">
        <v>0</v>
      </c>
      <c r="I64" s="145">
        <f t="shared" si="3"/>
        <v>99.324575536001987</v>
      </c>
      <c r="J64" s="531" t="s">
        <v>727</v>
      </c>
      <c r="K64" s="532">
        <v>1</v>
      </c>
      <c r="L64" s="312">
        <f t="shared" si="4"/>
        <v>14</v>
      </c>
      <c r="M64" s="999">
        <v>1</v>
      </c>
      <c r="N64" s="953">
        <f t="shared" ref="N64:N83" si="5">F18</f>
        <v>1</v>
      </c>
      <c r="O64" s="953">
        <v>0</v>
      </c>
    </row>
    <row r="65" spans="1:15" ht="31.5" customHeight="1" x14ac:dyDescent="0.2">
      <c r="A65" s="540" t="s">
        <v>297</v>
      </c>
      <c r="B65" s="145">
        <f t="shared" si="1"/>
        <v>65</v>
      </c>
      <c r="C65" s="145">
        <f t="shared" si="1"/>
        <v>857</v>
      </c>
      <c r="D65" s="578">
        <f t="shared" si="1"/>
        <v>197747.7</v>
      </c>
      <c r="E65" s="578">
        <f>'приложение 3'!G29</f>
        <v>12819.6</v>
      </c>
      <c r="F65" s="970">
        <f t="shared" si="2"/>
        <v>7.5845974329054853</v>
      </c>
      <c r="G65" s="532" t="s">
        <v>184</v>
      </c>
      <c r="H65" s="536">
        <v>0</v>
      </c>
      <c r="I65" s="145">
        <f t="shared" si="3"/>
        <v>1542.5418889824955</v>
      </c>
      <c r="J65" s="719" t="s">
        <v>187</v>
      </c>
      <c r="K65" s="532">
        <v>1</v>
      </c>
      <c r="L65" s="312">
        <f t="shared" si="4"/>
        <v>44</v>
      </c>
      <c r="M65" s="999">
        <v>0.6</v>
      </c>
      <c r="N65" s="953">
        <f t="shared" si="5"/>
        <v>6</v>
      </c>
      <c r="O65" s="953">
        <v>0</v>
      </c>
    </row>
    <row r="66" spans="1:15" ht="46.5" customHeight="1" x14ac:dyDescent="0.2">
      <c r="A66" s="538" t="s">
        <v>283</v>
      </c>
      <c r="B66" s="145">
        <f t="shared" si="1"/>
        <v>93</v>
      </c>
      <c r="C66" s="145">
        <f t="shared" si="1"/>
        <v>920</v>
      </c>
      <c r="D66" s="578">
        <f t="shared" si="1"/>
        <v>3789</v>
      </c>
      <c r="E66" s="578">
        <f>'приложение 3'!G30</f>
        <v>3789.1</v>
      </c>
      <c r="F66" s="970">
        <f t="shared" si="2"/>
        <v>10.108695652173912</v>
      </c>
      <c r="G66" s="532" t="s">
        <v>184</v>
      </c>
      <c r="H66" s="536">
        <v>0</v>
      </c>
      <c r="I66" s="145">
        <f t="shared" si="3"/>
        <v>99.997360850861682</v>
      </c>
      <c r="J66" s="722"/>
      <c r="K66" s="532">
        <v>1</v>
      </c>
      <c r="L66" s="312">
        <f t="shared" si="4"/>
        <v>8</v>
      </c>
      <c r="M66" s="999">
        <v>1</v>
      </c>
      <c r="N66" s="953">
        <f t="shared" si="5"/>
        <v>0</v>
      </c>
      <c r="O66" s="953">
        <v>1</v>
      </c>
    </row>
    <row r="67" spans="1:15" ht="93" customHeight="1" x14ac:dyDescent="0.2">
      <c r="A67" s="538" t="s">
        <v>298</v>
      </c>
      <c r="B67" s="145">
        <f t="shared" si="1"/>
        <v>1531</v>
      </c>
      <c r="C67" s="145">
        <f t="shared" si="1"/>
        <v>24237</v>
      </c>
      <c r="D67" s="578">
        <f t="shared" si="1"/>
        <v>198295.1</v>
      </c>
      <c r="E67" s="578">
        <f>'приложение 3'!G31</f>
        <v>207777.1</v>
      </c>
      <c r="F67" s="970">
        <f t="shared" si="2"/>
        <v>6.3167883814003387</v>
      </c>
      <c r="G67" s="532" t="s">
        <v>389</v>
      </c>
      <c r="H67" s="536">
        <v>1</v>
      </c>
      <c r="I67" s="145">
        <f t="shared" si="3"/>
        <v>95.436455701807361</v>
      </c>
      <c r="J67" s="530" t="s">
        <v>728</v>
      </c>
      <c r="K67" s="532">
        <v>0</v>
      </c>
      <c r="L67" s="312">
        <f t="shared" si="4"/>
        <v>59</v>
      </c>
      <c r="M67" s="999">
        <v>0.4</v>
      </c>
      <c r="N67" s="953">
        <f t="shared" si="5"/>
        <v>16</v>
      </c>
      <c r="O67" s="953">
        <v>0</v>
      </c>
    </row>
    <row r="68" spans="1:15" ht="46.5" customHeight="1" x14ac:dyDescent="0.2">
      <c r="A68" s="538" t="s">
        <v>281</v>
      </c>
      <c r="B68" s="145">
        <f t="shared" si="1"/>
        <v>101</v>
      </c>
      <c r="C68" s="145">
        <f t="shared" si="1"/>
        <v>1049</v>
      </c>
      <c r="D68" s="578">
        <f t="shared" si="1"/>
        <v>6402.3</v>
      </c>
      <c r="E68" s="578">
        <f>'приложение 3'!G32</f>
        <v>6402.3</v>
      </c>
      <c r="F68" s="970">
        <f t="shared" si="2"/>
        <v>9.6282173498570067</v>
      </c>
      <c r="G68" s="532" t="s">
        <v>184</v>
      </c>
      <c r="H68" s="536">
        <v>0</v>
      </c>
      <c r="I68" s="145">
        <f t="shared" si="3"/>
        <v>100</v>
      </c>
      <c r="J68" s="719" t="s">
        <v>187</v>
      </c>
      <c r="K68" s="532">
        <v>1</v>
      </c>
      <c r="L68" s="312">
        <f t="shared" si="4"/>
        <v>30</v>
      </c>
      <c r="M68" s="999">
        <v>1</v>
      </c>
      <c r="N68" s="953">
        <f t="shared" si="5"/>
        <v>0</v>
      </c>
      <c r="O68" s="953">
        <v>1</v>
      </c>
    </row>
    <row r="69" spans="1:15" ht="96" customHeight="1" x14ac:dyDescent="0.2">
      <c r="A69" s="538" t="s">
        <v>299</v>
      </c>
      <c r="B69" s="145">
        <f t="shared" si="1"/>
        <v>338</v>
      </c>
      <c r="C69" s="145">
        <f t="shared" si="1"/>
        <v>3408</v>
      </c>
      <c r="D69" s="578">
        <f t="shared" si="1"/>
        <v>16083.4</v>
      </c>
      <c r="E69" s="578">
        <f>'приложение 3'!G33</f>
        <v>5841.8</v>
      </c>
      <c r="F69" s="970">
        <f t="shared" si="2"/>
        <v>9.9178403755868541</v>
      </c>
      <c r="G69" s="532" t="s">
        <v>184</v>
      </c>
      <c r="H69" s="536">
        <v>0</v>
      </c>
      <c r="I69" s="145">
        <f t="shared" si="3"/>
        <v>275.31582731349926</v>
      </c>
      <c r="J69" s="1000"/>
      <c r="K69" s="532">
        <v>1</v>
      </c>
      <c r="L69" s="312">
        <f t="shared" si="4"/>
        <v>13</v>
      </c>
      <c r="M69" s="999">
        <v>1</v>
      </c>
      <c r="N69" s="953">
        <f t="shared" si="5"/>
        <v>1</v>
      </c>
      <c r="O69" s="953">
        <v>0</v>
      </c>
    </row>
    <row r="70" spans="1:15" ht="91.5" customHeight="1" x14ac:dyDescent="0.2">
      <c r="A70" s="538" t="s">
        <v>269</v>
      </c>
      <c r="B70" s="145">
        <f t="shared" si="1"/>
        <v>302</v>
      </c>
      <c r="C70" s="145">
        <f t="shared" si="1"/>
        <v>3618</v>
      </c>
      <c r="D70" s="578">
        <f t="shared" si="1"/>
        <v>46512.9</v>
      </c>
      <c r="E70" s="578">
        <f>'приложение 3'!G34</f>
        <v>45885.3</v>
      </c>
      <c r="F70" s="970">
        <f t="shared" si="2"/>
        <v>8.3471531232725251</v>
      </c>
      <c r="G70" s="532" t="s">
        <v>390</v>
      </c>
      <c r="H70" s="536">
        <v>0</v>
      </c>
      <c r="I70" s="145">
        <f t="shared" si="3"/>
        <v>101.36775830167831</v>
      </c>
      <c r="J70" s="530" t="s">
        <v>729</v>
      </c>
      <c r="K70" s="532">
        <v>1</v>
      </c>
      <c r="L70" s="312">
        <f t="shared" si="4"/>
        <v>17</v>
      </c>
      <c r="M70" s="999">
        <v>1</v>
      </c>
      <c r="N70" s="953">
        <f t="shared" si="5"/>
        <v>32</v>
      </c>
      <c r="O70" s="953">
        <v>0</v>
      </c>
    </row>
    <row r="71" spans="1:15" ht="165" customHeight="1" x14ac:dyDescent="0.2">
      <c r="A71" s="538" t="s">
        <v>286</v>
      </c>
      <c r="B71" s="145">
        <f t="shared" si="1"/>
        <v>59</v>
      </c>
      <c r="C71" s="145">
        <f t="shared" si="1"/>
        <v>434</v>
      </c>
      <c r="D71" s="578">
        <f t="shared" si="1"/>
        <v>134.5</v>
      </c>
      <c r="E71" s="578">
        <f>'приложение 3'!G35</f>
        <v>141.19999999999999</v>
      </c>
      <c r="F71" s="970">
        <f t="shared" si="2"/>
        <v>13.594470046082948</v>
      </c>
      <c r="G71" s="719" t="s">
        <v>392</v>
      </c>
      <c r="H71" s="536">
        <v>0</v>
      </c>
      <c r="I71" s="145">
        <f t="shared" si="3"/>
        <v>95.254957507082167</v>
      </c>
      <c r="J71" s="530" t="s">
        <v>730</v>
      </c>
      <c r="K71" s="532">
        <v>0</v>
      </c>
      <c r="L71" s="312">
        <f t="shared" si="4"/>
        <v>8</v>
      </c>
      <c r="M71" s="999">
        <v>1</v>
      </c>
      <c r="N71" s="953">
        <f t="shared" si="5"/>
        <v>9</v>
      </c>
      <c r="O71" s="953">
        <v>0</v>
      </c>
    </row>
    <row r="72" spans="1:15" ht="177" customHeight="1" x14ac:dyDescent="0.2">
      <c r="A72" s="538" t="s">
        <v>300</v>
      </c>
      <c r="B72" s="145">
        <f t="shared" si="1"/>
        <v>226</v>
      </c>
      <c r="C72" s="145">
        <f t="shared" si="1"/>
        <v>1539</v>
      </c>
      <c r="D72" s="578">
        <f t="shared" si="1"/>
        <v>35548.699999999997</v>
      </c>
      <c r="E72" s="578">
        <f>'приложение 3'!G36</f>
        <v>35577.599999999999</v>
      </c>
      <c r="F72" s="970">
        <f t="shared" si="2"/>
        <v>14.684860298895385</v>
      </c>
      <c r="G72" s="737"/>
      <c r="H72" s="536">
        <v>0</v>
      </c>
      <c r="I72" s="145">
        <f t="shared" si="3"/>
        <v>99.918769113149835</v>
      </c>
      <c r="J72" s="530" t="s">
        <v>727</v>
      </c>
      <c r="K72" s="532">
        <v>1</v>
      </c>
      <c r="L72" s="312">
        <f t="shared" si="4"/>
        <v>49</v>
      </c>
      <c r="M72" s="999">
        <v>0.6</v>
      </c>
      <c r="N72" s="953">
        <f t="shared" si="5"/>
        <v>0</v>
      </c>
      <c r="O72" s="953">
        <v>1</v>
      </c>
    </row>
    <row r="73" spans="1:15" ht="46.5" customHeight="1" x14ac:dyDescent="0.2">
      <c r="A73" s="538" t="s">
        <v>270</v>
      </c>
      <c r="B73" s="145">
        <f t="shared" si="1"/>
        <v>127</v>
      </c>
      <c r="C73" s="145">
        <f t="shared" si="1"/>
        <v>713</v>
      </c>
      <c r="D73" s="578">
        <f t="shared" si="1"/>
        <v>3568.6</v>
      </c>
      <c r="E73" s="578">
        <f>'приложение 3'!G37</f>
        <v>3659.7</v>
      </c>
      <c r="F73" s="970">
        <f t="shared" si="2"/>
        <v>17.812061711079945</v>
      </c>
      <c r="G73" s="532" t="s">
        <v>184</v>
      </c>
      <c r="H73" s="536">
        <v>0</v>
      </c>
      <c r="I73" s="145">
        <f t="shared" si="3"/>
        <v>97.510724922807881</v>
      </c>
      <c r="J73" s="532" t="s">
        <v>237</v>
      </c>
      <c r="K73" s="532">
        <v>0</v>
      </c>
      <c r="L73" s="312">
        <f t="shared" si="4"/>
        <v>7</v>
      </c>
      <c r="M73" s="999">
        <v>1</v>
      </c>
      <c r="N73" s="953">
        <f t="shared" si="5"/>
        <v>23</v>
      </c>
      <c r="O73" s="953">
        <v>0</v>
      </c>
    </row>
    <row r="74" spans="1:15" ht="180.75" customHeight="1" x14ac:dyDescent="0.2">
      <c r="A74" s="538" t="s">
        <v>274</v>
      </c>
      <c r="B74" s="145">
        <f t="shared" si="1"/>
        <v>15</v>
      </c>
      <c r="C74" s="145">
        <f t="shared" si="1"/>
        <v>210</v>
      </c>
      <c r="D74" s="578">
        <f t="shared" si="1"/>
        <v>122.7</v>
      </c>
      <c r="E74" s="578">
        <f>'приложение 3'!G38</f>
        <v>122.7</v>
      </c>
      <c r="F74" s="970">
        <f t="shared" si="2"/>
        <v>7.1428571428571423</v>
      </c>
      <c r="G74" s="532" t="s">
        <v>391</v>
      </c>
      <c r="H74" s="536">
        <v>1</v>
      </c>
      <c r="I74" s="145">
        <f>D74/E74*100</f>
        <v>100</v>
      </c>
      <c r="J74" s="530" t="s">
        <v>727</v>
      </c>
      <c r="K74" s="532">
        <v>1</v>
      </c>
      <c r="L74" s="312">
        <f t="shared" si="4"/>
        <v>4</v>
      </c>
      <c r="M74" s="999">
        <v>1</v>
      </c>
      <c r="N74" s="953">
        <f t="shared" si="5"/>
        <v>0</v>
      </c>
      <c r="O74" s="953">
        <v>1</v>
      </c>
    </row>
    <row r="75" spans="1:15" ht="166.5" customHeight="1" x14ac:dyDescent="0.2">
      <c r="A75" s="538" t="s">
        <v>301</v>
      </c>
      <c r="B75" s="145">
        <f t="shared" si="1"/>
        <v>14</v>
      </c>
      <c r="C75" s="145">
        <f t="shared" si="1"/>
        <v>375</v>
      </c>
      <c r="D75" s="578">
        <f t="shared" si="1"/>
        <v>2069</v>
      </c>
      <c r="E75" s="578">
        <f>'приложение 3'!G39</f>
        <v>2839</v>
      </c>
      <c r="F75" s="970">
        <f t="shared" si="2"/>
        <v>3.7333333333333338</v>
      </c>
      <c r="G75" s="532" t="s">
        <v>391</v>
      </c>
      <c r="H75" s="536">
        <v>1</v>
      </c>
      <c r="I75" s="145">
        <f>D75/E75*100</f>
        <v>72.877773864036627</v>
      </c>
      <c r="J75" s="530" t="s">
        <v>731</v>
      </c>
      <c r="K75" s="532">
        <v>0</v>
      </c>
      <c r="L75" s="312">
        <f t="shared" si="4"/>
        <v>8</v>
      </c>
      <c r="M75" s="196">
        <v>1</v>
      </c>
      <c r="N75" s="953">
        <f t="shared" si="5"/>
        <v>0</v>
      </c>
      <c r="O75" s="953">
        <v>1</v>
      </c>
    </row>
    <row r="76" spans="1:15" ht="33.75" customHeight="1" x14ac:dyDescent="0.2">
      <c r="A76" s="538" t="s">
        <v>275</v>
      </c>
      <c r="B76" s="145">
        <f t="shared" si="1"/>
        <v>107</v>
      </c>
      <c r="C76" s="145">
        <f t="shared" si="1"/>
        <v>654</v>
      </c>
      <c r="D76" s="578">
        <f t="shared" si="1"/>
        <v>134059.9</v>
      </c>
      <c r="E76" s="578">
        <f>'приложение 3'!G40</f>
        <v>137065.20000000001</v>
      </c>
      <c r="F76" s="970">
        <f t="shared" si="2"/>
        <v>16.36085626911315</v>
      </c>
      <c r="G76" s="532" t="s">
        <v>184</v>
      </c>
      <c r="H76" s="536">
        <v>0</v>
      </c>
      <c r="I76" s="145">
        <f t="shared" ref="I76:I83" si="6">D76/E76*100</f>
        <v>97.807393853436167</v>
      </c>
      <c r="J76" s="532" t="s">
        <v>237</v>
      </c>
      <c r="K76" s="532">
        <v>0</v>
      </c>
      <c r="L76" s="312">
        <f t="shared" si="4"/>
        <v>83</v>
      </c>
      <c r="M76" s="196">
        <v>0.2</v>
      </c>
      <c r="N76" s="953">
        <f t="shared" si="5"/>
        <v>35</v>
      </c>
      <c r="O76" s="953">
        <v>0</v>
      </c>
    </row>
    <row r="77" spans="1:15" ht="81.75" customHeight="1" x14ac:dyDescent="0.2">
      <c r="A77" s="538" t="s">
        <v>276</v>
      </c>
      <c r="B77" s="145">
        <f t="shared" si="1"/>
        <v>34</v>
      </c>
      <c r="C77" s="145">
        <f t="shared" si="1"/>
        <v>493</v>
      </c>
      <c r="D77" s="578">
        <f t="shared" si="1"/>
        <v>1504.8</v>
      </c>
      <c r="E77" s="578">
        <f>'приложение 3'!G41</f>
        <v>1125.5</v>
      </c>
      <c r="F77" s="970">
        <f t="shared" si="2"/>
        <v>6.8965517241379306</v>
      </c>
      <c r="G77" s="719" t="s">
        <v>391</v>
      </c>
      <c r="H77" s="532">
        <v>1</v>
      </c>
      <c r="I77" s="145">
        <f t="shared" si="6"/>
        <v>133.70057752110174</v>
      </c>
      <c r="J77" s="719" t="s">
        <v>727</v>
      </c>
      <c r="K77" s="532">
        <v>1</v>
      </c>
      <c r="L77" s="312">
        <f t="shared" si="4"/>
        <v>13</v>
      </c>
      <c r="M77" s="196">
        <v>1</v>
      </c>
      <c r="N77" s="953">
        <f t="shared" si="5"/>
        <v>0</v>
      </c>
      <c r="O77" s="953">
        <v>1</v>
      </c>
    </row>
    <row r="78" spans="1:15" ht="66.75" customHeight="1" x14ac:dyDescent="0.2">
      <c r="A78" s="538" t="s">
        <v>277</v>
      </c>
      <c r="B78" s="145">
        <f t="shared" si="1"/>
        <v>33</v>
      </c>
      <c r="C78" s="145">
        <f t="shared" si="1"/>
        <v>503</v>
      </c>
      <c r="D78" s="578">
        <f t="shared" si="1"/>
        <v>1714.4</v>
      </c>
      <c r="E78" s="578">
        <f>'приложение 3'!G42</f>
        <v>1175.2</v>
      </c>
      <c r="F78" s="970">
        <f t="shared" si="2"/>
        <v>6.5606361829025852</v>
      </c>
      <c r="G78" s="737"/>
      <c r="H78" s="532">
        <v>1</v>
      </c>
      <c r="I78" s="145">
        <f t="shared" si="6"/>
        <v>145.88155207624234</v>
      </c>
      <c r="J78" s="721"/>
      <c r="K78" s="532">
        <v>1</v>
      </c>
      <c r="L78" s="312">
        <f t="shared" si="4"/>
        <v>16</v>
      </c>
      <c r="M78" s="196">
        <v>1</v>
      </c>
      <c r="N78" s="953">
        <f t="shared" si="5"/>
        <v>0</v>
      </c>
      <c r="O78" s="953">
        <v>1</v>
      </c>
    </row>
    <row r="79" spans="1:15" ht="124.5" customHeight="1" x14ac:dyDescent="0.2">
      <c r="A79" s="538" t="s">
        <v>278</v>
      </c>
      <c r="B79" s="145">
        <f t="shared" si="1"/>
        <v>52</v>
      </c>
      <c r="C79" s="145">
        <f t="shared" si="1"/>
        <v>570</v>
      </c>
      <c r="D79" s="578">
        <f t="shared" si="1"/>
        <v>3294.7</v>
      </c>
      <c r="E79" s="578">
        <f>'приложение 3'!G43</f>
        <v>3068.2</v>
      </c>
      <c r="F79" s="970">
        <f t="shared" si="2"/>
        <v>9.1228070175438596</v>
      </c>
      <c r="G79" s="532" t="s">
        <v>392</v>
      </c>
      <c r="H79" s="536">
        <v>0</v>
      </c>
      <c r="I79" s="145">
        <f t="shared" si="6"/>
        <v>107.3821784759794</v>
      </c>
      <c r="J79" s="721"/>
      <c r="K79" s="532">
        <v>1</v>
      </c>
      <c r="L79" s="312">
        <f t="shared" si="4"/>
        <v>24</v>
      </c>
      <c r="M79" s="196">
        <v>1</v>
      </c>
      <c r="N79" s="953">
        <f t="shared" si="5"/>
        <v>0</v>
      </c>
      <c r="O79" s="953">
        <v>1</v>
      </c>
    </row>
    <row r="80" spans="1:15" ht="131.25" customHeight="1" x14ac:dyDescent="0.2">
      <c r="A80" s="538" t="s">
        <v>279</v>
      </c>
      <c r="B80" s="145">
        <f t="shared" si="1"/>
        <v>24</v>
      </c>
      <c r="C80" s="145">
        <f t="shared" si="1"/>
        <v>460</v>
      </c>
      <c r="D80" s="578">
        <f t="shared" si="1"/>
        <v>1558.2</v>
      </c>
      <c r="E80" s="578">
        <f>'приложение 3'!G44</f>
        <v>1498.6</v>
      </c>
      <c r="F80" s="970">
        <f t="shared" si="2"/>
        <v>5.2173913043478262</v>
      </c>
      <c r="G80" s="532" t="s">
        <v>391</v>
      </c>
      <c r="H80" s="532">
        <v>1</v>
      </c>
      <c r="I80" s="145">
        <f t="shared" si="6"/>
        <v>103.97704524222608</v>
      </c>
      <c r="J80" s="1001"/>
      <c r="K80" s="532">
        <v>1</v>
      </c>
      <c r="L80" s="312">
        <f t="shared" si="4"/>
        <v>9</v>
      </c>
      <c r="M80" s="196">
        <v>1</v>
      </c>
      <c r="N80" s="953">
        <f t="shared" si="5"/>
        <v>0</v>
      </c>
      <c r="O80" s="953">
        <v>1</v>
      </c>
    </row>
    <row r="81" spans="1:15" ht="105" customHeight="1" x14ac:dyDescent="0.2">
      <c r="A81" s="538" t="s">
        <v>280</v>
      </c>
      <c r="B81" s="145">
        <f t="shared" si="1"/>
        <v>64</v>
      </c>
      <c r="C81" s="145">
        <f t="shared" si="1"/>
        <v>616</v>
      </c>
      <c r="D81" s="578">
        <f t="shared" si="1"/>
        <v>9495.7999999999993</v>
      </c>
      <c r="E81" s="578">
        <f>'приложение 3'!G45</f>
        <v>9363.5</v>
      </c>
      <c r="F81" s="970">
        <f t="shared" si="2"/>
        <v>10.38961038961039</v>
      </c>
      <c r="G81" s="532" t="s">
        <v>390</v>
      </c>
      <c r="H81" s="536">
        <v>0</v>
      </c>
      <c r="I81" s="145">
        <f t="shared" si="6"/>
        <v>101.41293319805627</v>
      </c>
      <c r="J81" s="1001"/>
      <c r="K81" s="532">
        <v>1</v>
      </c>
      <c r="L81" s="312">
        <f t="shared" si="4"/>
        <v>21</v>
      </c>
      <c r="M81" s="196">
        <v>1</v>
      </c>
      <c r="N81" s="953">
        <f t="shared" si="5"/>
        <v>2</v>
      </c>
      <c r="O81" s="953">
        <v>0</v>
      </c>
    </row>
    <row r="82" spans="1:15" ht="67.5" customHeight="1" x14ac:dyDescent="0.2">
      <c r="A82" s="538" t="s">
        <v>272</v>
      </c>
      <c r="B82" s="145">
        <f t="shared" si="1"/>
        <v>21</v>
      </c>
      <c r="C82" s="145">
        <f t="shared" si="1"/>
        <v>448</v>
      </c>
      <c r="D82" s="578">
        <f t="shared" si="1"/>
        <v>3953.7</v>
      </c>
      <c r="E82" s="578">
        <f>'приложение 3'!G46</f>
        <v>3520.9</v>
      </c>
      <c r="F82" s="970">
        <f t="shared" si="2"/>
        <v>4.6875</v>
      </c>
      <c r="G82" s="719" t="s">
        <v>391</v>
      </c>
      <c r="H82" s="532">
        <v>1</v>
      </c>
      <c r="I82" s="145">
        <f>D82/E82*100</f>
        <v>112.29231162486863</v>
      </c>
      <c r="J82" s="1001"/>
      <c r="K82" s="532">
        <v>1</v>
      </c>
      <c r="L82" s="312">
        <f t="shared" si="4"/>
        <v>14</v>
      </c>
      <c r="M82" s="196">
        <v>1</v>
      </c>
      <c r="N82" s="953">
        <f t="shared" si="5"/>
        <v>0</v>
      </c>
      <c r="O82" s="953">
        <v>1</v>
      </c>
    </row>
    <row r="83" spans="1:15" ht="71.25" customHeight="1" x14ac:dyDescent="0.2">
      <c r="A83" s="538" t="s">
        <v>273</v>
      </c>
      <c r="B83" s="145">
        <f t="shared" si="1"/>
        <v>22</v>
      </c>
      <c r="C83" s="145">
        <f t="shared" si="1"/>
        <v>503</v>
      </c>
      <c r="D83" s="578">
        <f t="shared" si="1"/>
        <v>14539.4</v>
      </c>
      <c r="E83" s="578">
        <f>'приложение 3'!G47</f>
        <v>14026.2</v>
      </c>
      <c r="F83" s="970">
        <f t="shared" si="2"/>
        <v>4.3737574552683895</v>
      </c>
      <c r="G83" s="722"/>
      <c r="H83" s="532">
        <v>1</v>
      </c>
      <c r="I83" s="145">
        <f t="shared" si="6"/>
        <v>103.6588669775135</v>
      </c>
      <c r="J83" s="1000"/>
      <c r="K83" s="532">
        <v>1</v>
      </c>
      <c r="L83" s="312">
        <f t="shared" si="4"/>
        <v>21</v>
      </c>
      <c r="M83" s="196">
        <v>1</v>
      </c>
      <c r="N83" s="953">
        <f t="shared" si="5"/>
        <v>0</v>
      </c>
      <c r="O83" s="953">
        <v>1</v>
      </c>
    </row>
  </sheetData>
  <mergeCells count="17">
    <mergeCell ref="D1:E1"/>
    <mergeCell ref="L52:M52"/>
    <mergeCell ref="A3:D4"/>
    <mergeCell ref="F52:H52"/>
    <mergeCell ref="I52:K52"/>
    <mergeCell ref="B52:B53"/>
    <mergeCell ref="C52:C53"/>
    <mergeCell ref="J77:J83"/>
    <mergeCell ref="N52:O52"/>
    <mergeCell ref="G82:G83"/>
    <mergeCell ref="J56:J57"/>
    <mergeCell ref="G77:G78"/>
    <mergeCell ref="G71:G72"/>
    <mergeCell ref="G56:G57"/>
    <mergeCell ref="J58:J61"/>
    <mergeCell ref="J65:J66"/>
    <mergeCell ref="J68:J69"/>
  </mergeCells>
  <pageMargins left="0.70866141732283472" right="0.70866141732283472" top="0.74803149606299213" bottom="0.74803149606299213" header="0.31496062992125984" footer="0.31496062992125984"/>
  <pageSetup paperSize="9" scale="48"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2"/>
  <sheetViews>
    <sheetView topLeftCell="A10" zoomScale="90" zoomScaleNormal="90" workbookViewId="0">
      <selection activeCell="I43" sqref="I43"/>
    </sheetView>
  </sheetViews>
  <sheetFormatPr defaultColWidth="8.85546875" defaultRowHeight="12.75" x14ac:dyDescent="0.2"/>
  <cols>
    <col min="1" max="1" width="45.5703125" style="2" customWidth="1"/>
    <col min="2" max="2" width="24.7109375" style="2" customWidth="1"/>
    <col min="3" max="3" width="18.5703125" style="2" customWidth="1"/>
    <col min="4" max="4" width="10" style="2" customWidth="1"/>
    <col min="5" max="5" width="17.28515625" style="2" bestFit="1" customWidth="1"/>
    <col min="6" max="6" width="13.140625" style="2" customWidth="1"/>
    <col min="7" max="16384" width="8.85546875" style="2"/>
  </cols>
  <sheetData>
    <row r="1" spans="1:4" x14ac:dyDescent="0.2">
      <c r="A1" s="926" t="s">
        <v>190</v>
      </c>
      <c r="B1" s="926"/>
      <c r="C1" s="926"/>
      <c r="D1" s="926"/>
    </row>
    <row r="2" spans="1:4" ht="74.25" customHeight="1" x14ac:dyDescent="0.2">
      <c r="A2" s="82"/>
      <c r="B2" s="927" t="s">
        <v>446</v>
      </c>
      <c r="C2" s="927"/>
      <c r="D2" s="927"/>
    </row>
    <row r="3" spans="1:4" ht="9.75" customHeight="1" x14ac:dyDescent="0.25">
      <c r="A3" s="761"/>
      <c r="B3" s="761"/>
      <c r="C3" s="761"/>
      <c r="D3" s="761"/>
    </row>
    <row r="4" spans="1:4" ht="3" customHeight="1" x14ac:dyDescent="0.25">
      <c r="A4" s="761"/>
      <c r="B4" s="761"/>
      <c r="C4" s="761"/>
      <c r="D4" s="761"/>
    </row>
    <row r="5" spans="1:4" ht="6" customHeight="1" x14ac:dyDescent="0.25">
      <c r="A5" s="761"/>
      <c r="B5" s="761"/>
      <c r="C5" s="761"/>
      <c r="D5" s="761"/>
    </row>
    <row r="6" spans="1:4" ht="8.25" customHeight="1" x14ac:dyDescent="0.25">
      <c r="A6" s="761"/>
      <c r="B6" s="761"/>
      <c r="C6" s="761"/>
      <c r="D6" s="761"/>
    </row>
    <row r="7" spans="1:4" ht="8.25" customHeight="1" x14ac:dyDescent="0.2">
      <c r="A7" s="795"/>
      <c r="B7" s="795"/>
      <c r="C7" s="795"/>
      <c r="D7" s="795"/>
    </row>
    <row r="8" spans="1:4" ht="18.75" x14ac:dyDescent="0.3">
      <c r="A8" s="797" t="s">
        <v>17</v>
      </c>
      <c r="B8" s="797"/>
      <c r="C8" s="797"/>
      <c r="D8" s="797"/>
    </row>
    <row r="9" spans="1:4" ht="18.75" x14ac:dyDescent="0.3">
      <c r="A9" s="797" t="s">
        <v>329</v>
      </c>
      <c r="B9" s="797"/>
      <c r="C9" s="797"/>
      <c r="D9" s="797"/>
    </row>
    <row r="10" spans="1:4" ht="18.75" x14ac:dyDescent="0.3">
      <c r="A10" s="798" t="s">
        <v>330</v>
      </c>
      <c r="B10" s="798"/>
      <c r="C10" s="798"/>
      <c r="D10" s="798"/>
    </row>
    <row r="11" spans="1:4" ht="6.75" customHeight="1" x14ac:dyDescent="0.3">
      <c r="A11" s="797"/>
      <c r="B11" s="797"/>
      <c r="C11" s="797"/>
      <c r="D11" s="797"/>
    </row>
    <row r="12" spans="1:4" ht="18.75" x14ac:dyDescent="0.3">
      <c r="A12" s="797" t="s">
        <v>447</v>
      </c>
      <c r="B12" s="797"/>
      <c r="C12" s="797"/>
      <c r="D12" s="797"/>
    </row>
    <row r="13" spans="1:4" x14ac:dyDescent="0.2">
      <c r="A13" s="781" t="s">
        <v>106</v>
      </c>
      <c r="B13" s="781"/>
      <c r="C13" s="781"/>
      <c r="D13" s="781"/>
    </row>
    <row r="14" spans="1:4" ht="8.25" customHeight="1" x14ac:dyDescent="0.2">
      <c r="A14" s="781"/>
      <c r="B14" s="781"/>
      <c r="C14" s="781"/>
      <c r="D14" s="781"/>
    </row>
    <row r="15" spans="1:4" ht="2.25" hidden="1" customHeight="1" x14ac:dyDescent="0.2">
      <c r="A15" s="800"/>
      <c r="B15" s="800"/>
      <c r="C15" s="800"/>
      <c r="D15" s="800"/>
    </row>
    <row r="16" spans="1:4" x14ac:dyDescent="0.2">
      <c r="A16" s="785" t="s">
        <v>159</v>
      </c>
      <c r="B16" s="786" t="s">
        <v>191</v>
      </c>
      <c r="C16" s="924" t="s">
        <v>192</v>
      </c>
      <c r="D16" s="925"/>
    </row>
    <row r="17" spans="1:4" x14ac:dyDescent="0.2">
      <c r="A17" s="785"/>
      <c r="B17" s="786"/>
      <c r="C17" s="787"/>
      <c r="D17" s="788"/>
    </row>
    <row r="18" spans="1:4" ht="51.75" customHeight="1" x14ac:dyDescent="0.2">
      <c r="A18" s="785"/>
      <c r="B18" s="786"/>
      <c r="C18" s="789"/>
      <c r="D18" s="790"/>
    </row>
    <row r="19" spans="1:4" ht="15.75" x14ac:dyDescent="0.25">
      <c r="A19" s="3">
        <v>1</v>
      </c>
      <c r="B19" s="3">
        <v>2</v>
      </c>
      <c r="C19" s="782">
        <v>3</v>
      </c>
      <c r="D19" s="783"/>
    </row>
    <row r="20" spans="1:4" ht="30" x14ac:dyDescent="0.25">
      <c r="A20" s="538" t="s">
        <v>268</v>
      </c>
      <c r="B20" s="261">
        <v>642.41</v>
      </c>
      <c r="C20" s="920">
        <v>23948.53</v>
      </c>
      <c r="D20" s="921"/>
    </row>
    <row r="21" spans="1:4" ht="30" x14ac:dyDescent="0.25">
      <c r="A21" s="538" t="s">
        <v>292</v>
      </c>
      <c r="B21" s="261">
        <v>0</v>
      </c>
      <c r="C21" s="920">
        <v>0</v>
      </c>
      <c r="D21" s="921"/>
    </row>
    <row r="22" spans="1:4" ht="15.75" x14ac:dyDescent="0.25">
      <c r="A22" s="541" t="s">
        <v>291</v>
      </c>
      <c r="B22" s="261">
        <v>0</v>
      </c>
      <c r="C22" s="920">
        <v>0</v>
      </c>
      <c r="D22" s="921"/>
    </row>
    <row r="23" spans="1:4" ht="30" x14ac:dyDescent="0.25">
      <c r="A23" s="538" t="s">
        <v>271</v>
      </c>
      <c r="B23" s="3">
        <v>12065.65</v>
      </c>
      <c r="C23" s="920">
        <v>229239.98</v>
      </c>
      <c r="D23" s="921"/>
    </row>
    <row r="24" spans="1:4" ht="30" x14ac:dyDescent="0.25">
      <c r="A24" s="538" t="s">
        <v>320</v>
      </c>
      <c r="B24" s="261">
        <v>0</v>
      </c>
      <c r="C24" s="920">
        <v>0</v>
      </c>
      <c r="D24" s="921"/>
    </row>
    <row r="25" spans="1:4" ht="15.75" x14ac:dyDescent="0.25">
      <c r="A25" s="537" t="s">
        <v>293</v>
      </c>
      <c r="B25" s="261">
        <v>0</v>
      </c>
      <c r="C25" s="920">
        <v>0</v>
      </c>
      <c r="D25" s="921"/>
    </row>
    <row r="26" spans="1:4" ht="15.75" x14ac:dyDescent="0.25">
      <c r="A26" s="538" t="s">
        <v>294</v>
      </c>
      <c r="B26" s="261">
        <v>0</v>
      </c>
      <c r="C26" s="920">
        <v>0</v>
      </c>
      <c r="D26" s="921"/>
    </row>
    <row r="27" spans="1:4" ht="15.75" x14ac:dyDescent="0.25">
      <c r="A27" s="537" t="s">
        <v>295</v>
      </c>
      <c r="B27" s="261">
        <v>0</v>
      </c>
      <c r="C27" s="920">
        <v>0</v>
      </c>
      <c r="D27" s="921"/>
    </row>
    <row r="28" spans="1:4" ht="15.75" x14ac:dyDescent="0.25">
      <c r="A28" s="540" t="s">
        <v>290</v>
      </c>
      <c r="B28" s="261">
        <v>172221.75</v>
      </c>
      <c r="C28" s="920">
        <v>10898.92</v>
      </c>
      <c r="D28" s="921"/>
    </row>
    <row r="29" spans="1:4" ht="15.75" x14ac:dyDescent="0.25">
      <c r="A29" s="538" t="s">
        <v>296</v>
      </c>
      <c r="B29" s="261">
        <v>0</v>
      </c>
      <c r="C29" s="920">
        <v>0</v>
      </c>
      <c r="D29" s="921"/>
    </row>
    <row r="30" spans="1:4" ht="30" x14ac:dyDescent="0.25">
      <c r="A30" s="538" t="s">
        <v>282</v>
      </c>
      <c r="B30" s="261">
        <v>0</v>
      </c>
      <c r="C30" s="920">
        <v>0</v>
      </c>
      <c r="D30" s="921"/>
    </row>
    <row r="31" spans="1:4" ht="15.75" x14ac:dyDescent="0.25">
      <c r="A31" s="537" t="s">
        <v>297</v>
      </c>
      <c r="B31" s="261">
        <v>0</v>
      </c>
      <c r="C31" s="920">
        <v>0</v>
      </c>
      <c r="D31" s="921"/>
    </row>
    <row r="32" spans="1:4" ht="15.75" x14ac:dyDescent="0.25">
      <c r="A32" s="538" t="s">
        <v>283</v>
      </c>
      <c r="B32" s="261">
        <v>2200.9</v>
      </c>
      <c r="C32" s="920">
        <v>48541</v>
      </c>
      <c r="D32" s="921"/>
    </row>
    <row r="33" spans="1:4" ht="15.75" x14ac:dyDescent="0.25">
      <c r="A33" s="538" t="s">
        <v>319</v>
      </c>
      <c r="B33" s="261">
        <v>0</v>
      </c>
      <c r="C33" s="920">
        <v>0</v>
      </c>
      <c r="D33" s="921"/>
    </row>
    <row r="34" spans="1:4" ht="30" x14ac:dyDescent="0.25">
      <c r="A34" s="538" t="s">
        <v>281</v>
      </c>
      <c r="B34" s="261">
        <v>1379.22</v>
      </c>
      <c r="C34" s="920">
        <v>63726.32</v>
      </c>
      <c r="D34" s="921"/>
    </row>
    <row r="35" spans="1:4" ht="30" x14ac:dyDescent="0.25">
      <c r="A35" s="541" t="s">
        <v>299</v>
      </c>
      <c r="B35" s="261">
        <v>0</v>
      </c>
      <c r="C35" s="920">
        <v>0</v>
      </c>
      <c r="D35" s="921"/>
    </row>
    <row r="36" spans="1:4" ht="30" x14ac:dyDescent="0.25">
      <c r="A36" s="538" t="s">
        <v>269</v>
      </c>
      <c r="B36" s="261">
        <v>0</v>
      </c>
      <c r="C36" s="920">
        <v>0</v>
      </c>
      <c r="D36" s="921"/>
    </row>
    <row r="37" spans="1:4" ht="30" x14ac:dyDescent="0.25">
      <c r="A37" s="538" t="s">
        <v>286</v>
      </c>
      <c r="B37" s="261">
        <v>0</v>
      </c>
      <c r="C37" s="920">
        <v>0</v>
      </c>
      <c r="D37" s="921"/>
    </row>
    <row r="38" spans="1:4" ht="15.75" x14ac:dyDescent="0.25">
      <c r="A38" s="541" t="s">
        <v>300</v>
      </c>
      <c r="B38" s="261">
        <v>0</v>
      </c>
      <c r="C38" s="920">
        <v>0</v>
      </c>
      <c r="D38" s="921"/>
    </row>
    <row r="39" spans="1:4" ht="30" x14ac:dyDescent="0.25">
      <c r="A39" s="538" t="s">
        <v>270</v>
      </c>
      <c r="B39" s="261">
        <v>0</v>
      </c>
      <c r="C39" s="920">
        <v>0</v>
      </c>
      <c r="D39" s="921"/>
    </row>
    <row r="40" spans="1:4" ht="30" x14ac:dyDescent="0.25">
      <c r="A40" s="538" t="s">
        <v>274</v>
      </c>
      <c r="B40" s="261">
        <v>0</v>
      </c>
      <c r="C40" s="920">
        <v>0</v>
      </c>
      <c r="D40" s="921"/>
    </row>
    <row r="41" spans="1:4" ht="21.75" customHeight="1" x14ac:dyDescent="0.25">
      <c r="A41" s="541" t="s">
        <v>301</v>
      </c>
      <c r="B41" s="261">
        <v>0</v>
      </c>
      <c r="C41" s="920">
        <v>0</v>
      </c>
      <c r="D41" s="921"/>
    </row>
    <row r="42" spans="1:4" ht="22.5" customHeight="1" x14ac:dyDescent="0.25">
      <c r="A42" s="538" t="s">
        <v>275</v>
      </c>
      <c r="B42" s="261">
        <v>0</v>
      </c>
      <c r="C42" s="920">
        <v>0</v>
      </c>
      <c r="D42" s="921"/>
    </row>
    <row r="43" spans="1:4" ht="44.25" customHeight="1" x14ac:dyDescent="0.25">
      <c r="A43" s="538" t="s">
        <v>276</v>
      </c>
      <c r="B43" s="261">
        <v>0</v>
      </c>
      <c r="C43" s="920">
        <v>0</v>
      </c>
      <c r="D43" s="921"/>
    </row>
    <row r="44" spans="1:4" ht="48.75" customHeight="1" x14ac:dyDescent="0.25">
      <c r="A44" s="538" t="s">
        <v>277</v>
      </c>
      <c r="B44" s="261">
        <v>0</v>
      </c>
      <c r="C44" s="920">
        <v>0</v>
      </c>
      <c r="D44" s="921"/>
    </row>
    <row r="45" spans="1:4" ht="42.75" customHeight="1" x14ac:dyDescent="0.25">
      <c r="A45" s="538" t="s">
        <v>278</v>
      </c>
      <c r="B45" s="261">
        <v>0</v>
      </c>
      <c r="C45" s="920">
        <v>0</v>
      </c>
      <c r="D45" s="921"/>
    </row>
    <row r="46" spans="1:4" ht="48.75" customHeight="1" x14ac:dyDescent="0.25">
      <c r="A46" s="538" t="s">
        <v>279</v>
      </c>
      <c r="B46" s="261">
        <v>0</v>
      </c>
      <c r="C46" s="920">
        <v>0</v>
      </c>
      <c r="D46" s="921"/>
    </row>
    <row r="47" spans="1:4" ht="50.25" customHeight="1" x14ac:dyDescent="0.25">
      <c r="A47" s="538" t="s">
        <v>280</v>
      </c>
      <c r="B47" s="261">
        <v>13249.19</v>
      </c>
      <c r="C47" s="920">
        <v>19649.02</v>
      </c>
      <c r="D47" s="921"/>
    </row>
    <row r="48" spans="1:4" ht="46.5" customHeight="1" x14ac:dyDescent="0.25">
      <c r="A48" s="538" t="s">
        <v>272</v>
      </c>
      <c r="B48" s="261">
        <v>0</v>
      </c>
      <c r="C48" s="920">
        <v>0</v>
      </c>
      <c r="D48" s="921"/>
    </row>
    <row r="49" spans="1:9" ht="39.75" customHeight="1" x14ac:dyDescent="0.25">
      <c r="A49" s="538" t="s">
        <v>273</v>
      </c>
      <c r="B49" s="261">
        <v>0</v>
      </c>
      <c r="C49" s="920">
        <v>0</v>
      </c>
      <c r="D49" s="921"/>
    </row>
    <row r="50" spans="1:9" ht="15.75" x14ac:dyDescent="0.25">
      <c r="A50" s="4" t="s">
        <v>27</v>
      </c>
      <c r="B50" s="204">
        <f>SUM(B20:B49)</f>
        <v>201759.12</v>
      </c>
      <c r="C50" s="922">
        <f>SUM(C20:C49)</f>
        <v>396003.77</v>
      </c>
      <c r="D50" s="923"/>
    </row>
    <row r="52" spans="1:9" ht="15" x14ac:dyDescent="0.25">
      <c r="A52" s="777" t="s">
        <v>331</v>
      </c>
      <c r="B52" s="777"/>
      <c r="C52" s="777"/>
      <c r="D52" s="777"/>
      <c r="E52" s="777"/>
      <c r="F52" s="777"/>
      <c r="G52" s="777"/>
      <c r="H52" s="777"/>
    </row>
    <row r="53" spans="1:9" ht="15" x14ac:dyDescent="0.25">
      <c r="A53" s="777" t="s">
        <v>193</v>
      </c>
      <c r="B53" s="777"/>
      <c r="C53" s="777"/>
      <c r="D53" s="777"/>
      <c r="E53" s="777"/>
      <c r="F53" s="777"/>
      <c r="G53" s="777"/>
      <c r="H53" s="777"/>
    </row>
    <row r="54" spans="1:9" ht="6" customHeight="1" x14ac:dyDescent="0.25">
      <c r="A54" s="120"/>
      <c r="B54" s="120"/>
      <c r="C54" s="119"/>
      <c r="D54" s="119"/>
      <c r="E54" s="119"/>
      <c r="F54" s="120"/>
      <c r="G54" s="120"/>
      <c r="H54" s="120"/>
    </row>
    <row r="55" spans="1:9" ht="5.25" customHeight="1" x14ac:dyDescent="0.25">
      <c r="A55" s="777"/>
      <c r="B55" s="777"/>
      <c r="C55" s="777"/>
      <c r="D55" s="777"/>
      <c r="E55" s="777"/>
      <c r="F55" s="777"/>
      <c r="G55" s="777"/>
      <c r="H55" s="777"/>
    </row>
    <row r="56" spans="1:9" ht="15" x14ac:dyDescent="0.2">
      <c r="A56" s="781" t="s">
        <v>487</v>
      </c>
      <c r="B56" s="781"/>
      <c r="C56" s="781"/>
      <c r="D56" s="781"/>
      <c r="E56" s="781"/>
      <c r="F56" s="781"/>
      <c r="G56" s="781"/>
      <c r="H56" s="781"/>
      <c r="I56" s="781"/>
    </row>
    <row r="57" spans="1:9" ht="15" x14ac:dyDescent="0.25">
      <c r="A57" s="777" t="s">
        <v>488</v>
      </c>
      <c r="B57" s="777"/>
      <c r="C57" s="777"/>
      <c r="D57" s="777"/>
      <c r="E57" s="759"/>
      <c r="F57" s="777"/>
      <c r="G57" s="777"/>
      <c r="H57" s="777"/>
    </row>
    <row r="58" spans="1:9" ht="15" x14ac:dyDescent="0.25">
      <c r="A58" s="777" t="s">
        <v>485</v>
      </c>
      <c r="B58" s="777"/>
      <c r="C58" s="777"/>
      <c r="D58" s="777"/>
      <c r="E58" s="759"/>
      <c r="F58" s="777"/>
      <c r="G58" s="777"/>
      <c r="H58" s="777"/>
    </row>
    <row r="61" spans="1:9" ht="15.75" x14ac:dyDescent="0.25">
      <c r="A61" s="200"/>
    </row>
    <row r="66" spans="1:6" x14ac:dyDescent="0.2">
      <c r="A66" s="2" t="s">
        <v>430</v>
      </c>
    </row>
    <row r="67" spans="1:6" x14ac:dyDescent="0.2">
      <c r="A67" s="807" t="s">
        <v>159</v>
      </c>
      <c r="B67" s="822" t="s">
        <v>191</v>
      </c>
      <c r="C67" s="822" t="s">
        <v>192</v>
      </c>
      <c r="D67" s="822"/>
      <c r="E67" s="928" t="s">
        <v>245</v>
      </c>
      <c r="F67" s="928"/>
    </row>
    <row r="68" spans="1:6" x14ac:dyDescent="0.2">
      <c r="A68" s="807"/>
      <c r="B68" s="822"/>
      <c r="C68" s="822"/>
      <c r="D68" s="822"/>
      <c r="E68" s="928"/>
      <c r="F68" s="928"/>
    </row>
    <row r="69" spans="1:6" ht="78.75" customHeight="1" x14ac:dyDescent="0.2">
      <c r="A69" s="807"/>
      <c r="B69" s="822"/>
      <c r="C69" s="822"/>
      <c r="D69" s="822"/>
      <c r="E69" s="260" t="s">
        <v>210</v>
      </c>
      <c r="F69" s="171" t="s">
        <v>386</v>
      </c>
    </row>
    <row r="70" spans="1:6" ht="15.75" x14ac:dyDescent="0.25">
      <c r="A70" s="3">
        <v>1</v>
      </c>
      <c r="B70" s="3">
        <v>2</v>
      </c>
      <c r="C70" s="929">
        <v>3</v>
      </c>
      <c r="D70" s="930"/>
      <c r="E70" s="125">
        <v>4</v>
      </c>
      <c r="F70" s="125">
        <v>5</v>
      </c>
    </row>
    <row r="71" spans="1:6" ht="30" x14ac:dyDescent="0.2">
      <c r="A71" s="538" t="s">
        <v>268</v>
      </c>
      <c r="B71" s="1003">
        <f t="shared" ref="B71:C100" si="0">B20</f>
        <v>642.41</v>
      </c>
      <c r="C71" s="1004">
        <f t="shared" si="0"/>
        <v>23948.53</v>
      </c>
      <c r="D71" s="1005"/>
      <c r="E71" s="1003">
        <f>B71/C71*100</f>
        <v>2.682461094689319</v>
      </c>
      <c r="F71" s="1006">
        <f>1-E71/100</f>
        <v>0.97317538905310685</v>
      </c>
    </row>
    <row r="72" spans="1:6" ht="30" x14ac:dyDescent="0.2">
      <c r="A72" s="538" t="s">
        <v>292</v>
      </c>
      <c r="B72" s="1003">
        <f t="shared" si="0"/>
        <v>0</v>
      </c>
      <c r="C72" s="1004">
        <f t="shared" si="0"/>
        <v>0</v>
      </c>
      <c r="D72" s="1005"/>
      <c r="E72" s="1003">
        <v>0</v>
      </c>
      <c r="F72" s="1006">
        <f t="shared" ref="F72:F84" si="1">1-E72/100</f>
        <v>1</v>
      </c>
    </row>
    <row r="73" spans="1:6" ht="15.75" x14ac:dyDescent="0.2">
      <c r="A73" s="541" t="s">
        <v>291</v>
      </c>
      <c r="B73" s="1003">
        <f t="shared" si="0"/>
        <v>0</v>
      </c>
      <c r="C73" s="1004">
        <f t="shared" si="0"/>
        <v>0</v>
      </c>
      <c r="D73" s="1005"/>
      <c r="E73" s="1003">
        <v>0</v>
      </c>
      <c r="F73" s="1006">
        <f t="shared" si="1"/>
        <v>1</v>
      </c>
    </row>
    <row r="74" spans="1:6" ht="30" x14ac:dyDescent="0.2">
      <c r="A74" s="538" t="s">
        <v>271</v>
      </c>
      <c r="B74" s="535">
        <f t="shared" si="0"/>
        <v>12065.65</v>
      </c>
      <c r="C74" s="1004">
        <f t="shared" si="0"/>
        <v>229239.98</v>
      </c>
      <c r="D74" s="1005"/>
      <c r="E74" s="1003">
        <f>B74/C74*100</f>
        <v>5.2633271037626157</v>
      </c>
      <c r="F74" s="1006">
        <f>1-E74/100</f>
        <v>0.94736672896237384</v>
      </c>
    </row>
    <row r="75" spans="1:6" ht="30" x14ac:dyDescent="0.2">
      <c r="A75" s="538" t="s">
        <v>320</v>
      </c>
      <c r="B75" s="1003">
        <f t="shared" si="0"/>
        <v>0</v>
      </c>
      <c r="C75" s="1004">
        <f t="shared" si="0"/>
        <v>0</v>
      </c>
      <c r="D75" s="1005"/>
      <c r="E75" s="1003">
        <v>0</v>
      </c>
      <c r="F75" s="1006">
        <f t="shared" si="1"/>
        <v>1</v>
      </c>
    </row>
    <row r="76" spans="1:6" ht="15.75" x14ac:dyDescent="0.2">
      <c r="A76" s="537" t="s">
        <v>293</v>
      </c>
      <c r="B76" s="1003">
        <f t="shared" si="0"/>
        <v>0</v>
      </c>
      <c r="C76" s="1004">
        <f t="shared" si="0"/>
        <v>0</v>
      </c>
      <c r="D76" s="1005"/>
      <c r="E76" s="1003">
        <v>0</v>
      </c>
      <c r="F76" s="1006">
        <f t="shared" si="1"/>
        <v>1</v>
      </c>
    </row>
    <row r="77" spans="1:6" ht="15.75" x14ac:dyDescent="0.2">
      <c r="A77" s="538" t="s">
        <v>294</v>
      </c>
      <c r="B77" s="1003">
        <f t="shared" si="0"/>
        <v>0</v>
      </c>
      <c r="C77" s="1004">
        <f t="shared" si="0"/>
        <v>0</v>
      </c>
      <c r="D77" s="1005"/>
      <c r="E77" s="1003">
        <v>0</v>
      </c>
      <c r="F77" s="1006">
        <f t="shared" si="1"/>
        <v>1</v>
      </c>
    </row>
    <row r="78" spans="1:6" ht="15.75" x14ac:dyDescent="0.2">
      <c r="A78" s="537" t="s">
        <v>295</v>
      </c>
      <c r="B78" s="1003">
        <f t="shared" si="0"/>
        <v>0</v>
      </c>
      <c r="C78" s="1004">
        <f t="shared" si="0"/>
        <v>0</v>
      </c>
      <c r="D78" s="1005"/>
      <c r="E78" s="1003">
        <v>0</v>
      </c>
      <c r="F78" s="1006">
        <f t="shared" si="1"/>
        <v>1</v>
      </c>
    </row>
    <row r="79" spans="1:6" ht="15.75" x14ac:dyDescent="0.2">
      <c r="A79" s="540" t="s">
        <v>290</v>
      </c>
      <c r="B79" s="1003">
        <f t="shared" si="0"/>
        <v>172221.75</v>
      </c>
      <c r="C79" s="1004">
        <f t="shared" si="0"/>
        <v>10898.92</v>
      </c>
      <c r="D79" s="1005"/>
      <c r="E79" s="1003">
        <f>B79/C79*100</f>
        <v>1580.1726226084786</v>
      </c>
      <c r="F79" s="1006">
        <f>1-E79/100</f>
        <v>-14.801726226084787</v>
      </c>
    </row>
    <row r="80" spans="1:6" ht="15.75" x14ac:dyDescent="0.2">
      <c r="A80" s="538" t="s">
        <v>296</v>
      </c>
      <c r="B80" s="1003">
        <f t="shared" si="0"/>
        <v>0</v>
      </c>
      <c r="C80" s="1004">
        <f t="shared" si="0"/>
        <v>0</v>
      </c>
      <c r="D80" s="1005"/>
      <c r="E80" s="1003">
        <v>0</v>
      </c>
      <c r="F80" s="1006">
        <f t="shared" si="1"/>
        <v>1</v>
      </c>
    </row>
    <row r="81" spans="1:6" ht="30" x14ac:dyDescent="0.2">
      <c r="A81" s="538" t="s">
        <v>282</v>
      </c>
      <c r="B81" s="1003">
        <f t="shared" si="0"/>
        <v>0</v>
      </c>
      <c r="C81" s="1004">
        <f t="shared" si="0"/>
        <v>0</v>
      </c>
      <c r="D81" s="1005"/>
      <c r="E81" s="1003">
        <v>0</v>
      </c>
      <c r="F81" s="1006">
        <f t="shared" si="1"/>
        <v>1</v>
      </c>
    </row>
    <row r="82" spans="1:6" ht="15.75" x14ac:dyDescent="0.2">
      <c r="A82" s="537" t="s">
        <v>297</v>
      </c>
      <c r="B82" s="1003">
        <f t="shared" si="0"/>
        <v>0</v>
      </c>
      <c r="C82" s="1004">
        <f t="shared" si="0"/>
        <v>0</v>
      </c>
      <c r="D82" s="1005"/>
      <c r="E82" s="1003">
        <v>0</v>
      </c>
      <c r="F82" s="1006">
        <f t="shared" si="1"/>
        <v>1</v>
      </c>
    </row>
    <row r="83" spans="1:6" ht="15.75" x14ac:dyDescent="0.2">
      <c r="A83" s="538" t="s">
        <v>283</v>
      </c>
      <c r="B83" s="1003">
        <f t="shared" si="0"/>
        <v>2200.9</v>
      </c>
      <c r="C83" s="1004">
        <f t="shared" si="0"/>
        <v>48541</v>
      </c>
      <c r="D83" s="1005"/>
      <c r="E83" s="1003">
        <f>B83/C83*100</f>
        <v>4.5341051894274944</v>
      </c>
      <c r="F83" s="1006">
        <f>1-E83/100</f>
        <v>0.95465894810572505</v>
      </c>
    </row>
    <row r="84" spans="1:6" ht="15.75" x14ac:dyDescent="0.2">
      <c r="A84" s="538" t="s">
        <v>298</v>
      </c>
      <c r="B84" s="1003">
        <f t="shared" si="0"/>
        <v>0</v>
      </c>
      <c r="C84" s="1004">
        <f t="shared" si="0"/>
        <v>0</v>
      </c>
      <c r="D84" s="1005"/>
      <c r="E84" s="1003">
        <v>0</v>
      </c>
      <c r="F84" s="1006">
        <f t="shared" si="1"/>
        <v>1</v>
      </c>
    </row>
    <row r="85" spans="1:6" ht="30" x14ac:dyDescent="0.2">
      <c r="A85" s="538" t="s">
        <v>281</v>
      </c>
      <c r="B85" s="1003">
        <f t="shared" si="0"/>
        <v>1379.22</v>
      </c>
      <c r="C85" s="1004">
        <f t="shared" si="0"/>
        <v>63726.32</v>
      </c>
      <c r="D85" s="1005"/>
      <c r="E85" s="1003">
        <f>B85/C85*100</f>
        <v>2.164286279201435</v>
      </c>
      <c r="F85" s="1006">
        <f>1-E85/100</f>
        <v>0.97835713720798567</v>
      </c>
    </row>
    <row r="86" spans="1:6" ht="30" x14ac:dyDescent="0.2">
      <c r="A86" s="541" t="s">
        <v>299</v>
      </c>
      <c r="B86" s="1003">
        <f t="shared" si="0"/>
        <v>0</v>
      </c>
      <c r="C86" s="1004">
        <f t="shared" si="0"/>
        <v>0</v>
      </c>
      <c r="D86" s="1005"/>
      <c r="E86" s="1003">
        <v>0</v>
      </c>
      <c r="F86" s="1006">
        <f>1-E86/100</f>
        <v>1</v>
      </c>
    </row>
    <row r="87" spans="1:6" ht="30" x14ac:dyDescent="0.2">
      <c r="A87" s="538" t="s">
        <v>269</v>
      </c>
      <c r="B87" s="1003">
        <f t="shared" si="0"/>
        <v>0</v>
      </c>
      <c r="C87" s="1004">
        <f t="shared" si="0"/>
        <v>0</v>
      </c>
      <c r="D87" s="1005"/>
      <c r="E87" s="1003">
        <v>0</v>
      </c>
      <c r="F87" s="1006">
        <f t="shared" ref="F87:F92" si="2">1-E87/100</f>
        <v>1</v>
      </c>
    </row>
    <row r="88" spans="1:6" ht="30" x14ac:dyDescent="0.2">
      <c r="A88" s="538" t="s">
        <v>286</v>
      </c>
      <c r="B88" s="1003">
        <f t="shared" si="0"/>
        <v>0</v>
      </c>
      <c r="C88" s="1004">
        <f t="shared" si="0"/>
        <v>0</v>
      </c>
      <c r="D88" s="1005"/>
      <c r="E88" s="1003">
        <v>0</v>
      </c>
      <c r="F88" s="1006">
        <f t="shared" si="2"/>
        <v>1</v>
      </c>
    </row>
    <row r="89" spans="1:6" ht="15.75" x14ac:dyDescent="0.2">
      <c r="A89" s="541" t="s">
        <v>300</v>
      </c>
      <c r="B89" s="1003">
        <f t="shared" si="0"/>
        <v>0</v>
      </c>
      <c r="C89" s="1004">
        <f t="shared" si="0"/>
        <v>0</v>
      </c>
      <c r="D89" s="1005"/>
      <c r="E89" s="1003">
        <v>0</v>
      </c>
      <c r="F89" s="1006">
        <f t="shared" si="2"/>
        <v>1</v>
      </c>
    </row>
    <row r="90" spans="1:6" ht="30" x14ac:dyDescent="0.2">
      <c r="A90" s="538" t="s">
        <v>270</v>
      </c>
      <c r="B90" s="1003">
        <f t="shared" si="0"/>
        <v>0</v>
      </c>
      <c r="C90" s="1004">
        <f t="shared" si="0"/>
        <v>0</v>
      </c>
      <c r="D90" s="1005"/>
      <c r="E90" s="1003">
        <v>0</v>
      </c>
      <c r="F90" s="1006">
        <f t="shared" si="2"/>
        <v>1</v>
      </c>
    </row>
    <row r="91" spans="1:6" ht="30" x14ac:dyDescent="0.2">
      <c r="A91" s="538" t="s">
        <v>274</v>
      </c>
      <c r="B91" s="1003">
        <f t="shared" si="0"/>
        <v>0</v>
      </c>
      <c r="C91" s="1004">
        <f t="shared" si="0"/>
        <v>0</v>
      </c>
      <c r="D91" s="1005"/>
      <c r="E91" s="1003">
        <v>0</v>
      </c>
      <c r="F91" s="1006">
        <f t="shared" si="2"/>
        <v>1</v>
      </c>
    </row>
    <row r="92" spans="1:6" ht="15.75" x14ac:dyDescent="0.2">
      <c r="A92" s="541" t="s">
        <v>301</v>
      </c>
      <c r="B92" s="1003">
        <f t="shared" si="0"/>
        <v>0</v>
      </c>
      <c r="C92" s="1004">
        <f t="shared" si="0"/>
        <v>0</v>
      </c>
      <c r="D92" s="1005"/>
      <c r="E92" s="1003">
        <v>0</v>
      </c>
      <c r="F92" s="1006">
        <f t="shared" si="2"/>
        <v>1</v>
      </c>
    </row>
    <row r="93" spans="1:6" ht="15.75" x14ac:dyDescent="0.2">
      <c r="A93" s="538" t="s">
        <v>275</v>
      </c>
      <c r="B93" s="157">
        <f t="shared" si="0"/>
        <v>0</v>
      </c>
      <c r="C93" s="1007">
        <f t="shared" si="0"/>
        <v>0</v>
      </c>
      <c r="D93" s="1008"/>
      <c r="E93" s="1003">
        <v>0</v>
      </c>
      <c r="F93" s="1006">
        <f>1-E93/100</f>
        <v>1</v>
      </c>
    </row>
    <row r="94" spans="1:6" ht="45" x14ac:dyDescent="0.2">
      <c r="A94" s="538" t="s">
        <v>276</v>
      </c>
      <c r="B94" s="1003">
        <f t="shared" si="0"/>
        <v>0</v>
      </c>
      <c r="C94" s="1004">
        <f t="shared" si="0"/>
        <v>0</v>
      </c>
      <c r="D94" s="1005"/>
      <c r="E94" s="1003">
        <v>0</v>
      </c>
      <c r="F94" s="1006">
        <f t="shared" ref="F94:F100" si="3">1-E94/100</f>
        <v>1</v>
      </c>
    </row>
    <row r="95" spans="1:6" ht="45" x14ac:dyDescent="0.2">
      <c r="A95" s="538" t="s">
        <v>277</v>
      </c>
      <c r="B95" s="1003">
        <f t="shared" si="0"/>
        <v>0</v>
      </c>
      <c r="C95" s="1004">
        <f t="shared" si="0"/>
        <v>0</v>
      </c>
      <c r="D95" s="1005"/>
      <c r="E95" s="1003">
        <v>0</v>
      </c>
      <c r="F95" s="1006">
        <f t="shared" si="3"/>
        <v>1</v>
      </c>
    </row>
    <row r="96" spans="1:6" ht="30" x14ac:dyDescent="0.2">
      <c r="A96" s="538" t="s">
        <v>278</v>
      </c>
      <c r="B96" s="1003">
        <f t="shared" si="0"/>
        <v>0</v>
      </c>
      <c r="C96" s="1004">
        <f t="shared" si="0"/>
        <v>0</v>
      </c>
      <c r="D96" s="1005"/>
      <c r="E96" s="1003">
        <v>0</v>
      </c>
      <c r="F96" s="1006">
        <f t="shared" si="3"/>
        <v>1</v>
      </c>
    </row>
    <row r="97" spans="1:6" ht="45" x14ac:dyDescent="0.2">
      <c r="A97" s="538" t="s">
        <v>279</v>
      </c>
      <c r="B97" s="1003">
        <f t="shared" si="0"/>
        <v>0</v>
      </c>
      <c r="C97" s="1004">
        <f t="shared" si="0"/>
        <v>0</v>
      </c>
      <c r="D97" s="1005"/>
      <c r="E97" s="1003">
        <v>0</v>
      </c>
      <c r="F97" s="1006">
        <f t="shared" si="3"/>
        <v>1</v>
      </c>
    </row>
    <row r="98" spans="1:6" ht="45" x14ac:dyDescent="0.2">
      <c r="A98" s="538" t="s">
        <v>280</v>
      </c>
      <c r="B98" s="1003">
        <f t="shared" si="0"/>
        <v>13249.19</v>
      </c>
      <c r="C98" s="1004">
        <f t="shared" si="0"/>
        <v>19649.02</v>
      </c>
      <c r="D98" s="1005"/>
      <c r="E98" s="1003">
        <f>B98/C98*100</f>
        <v>67.429266192410623</v>
      </c>
      <c r="F98" s="1006">
        <f t="shared" si="3"/>
        <v>0.3257073380758938</v>
      </c>
    </row>
    <row r="99" spans="1:6" ht="45" x14ac:dyDescent="0.2">
      <c r="A99" s="538" t="s">
        <v>272</v>
      </c>
      <c r="B99" s="1003">
        <f t="shared" si="0"/>
        <v>0</v>
      </c>
      <c r="C99" s="1004">
        <f t="shared" si="0"/>
        <v>0</v>
      </c>
      <c r="D99" s="1005"/>
      <c r="E99" s="1003">
        <v>0</v>
      </c>
      <c r="F99" s="1006">
        <f t="shared" si="3"/>
        <v>1</v>
      </c>
    </row>
    <row r="100" spans="1:6" ht="45" x14ac:dyDescent="0.2">
      <c r="A100" s="538" t="s">
        <v>273</v>
      </c>
      <c r="B100" s="1003">
        <f t="shared" si="0"/>
        <v>0</v>
      </c>
      <c r="C100" s="1004">
        <f t="shared" si="0"/>
        <v>0</v>
      </c>
      <c r="D100" s="1005"/>
      <c r="E100" s="1003">
        <v>0</v>
      </c>
      <c r="F100" s="1006">
        <f t="shared" si="3"/>
        <v>1</v>
      </c>
    </row>
    <row r="101" spans="1:6" ht="15.75" x14ac:dyDescent="0.25">
      <c r="A101" s="4" t="s">
        <v>27</v>
      </c>
      <c r="B101" s="157"/>
      <c r="C101" s="202"/>
      <c r="D101" s="203"/>
      <c r="E101" s="535"/>
      <c r="F101" s="535"/>
    </row>
    <row r="102" spans="1:6" ht="15.75" x14ac:dyDescent="0.25">
      <c r="B102" s="204">
        <f>SUM(B71:B101)</f>
        <v>201759.12</v>
      </c>
      <c r="C102" s="922">
        <f>SUM(C71:C101)</f>
        <v>396003.77</v>
      </c>
      <c r="D102" s="923"/>
    </row>
  </sheetData>
  <mergeCells count="94">
    <mergeCell ref="C102:D102"/>
    <mergeCell ref="E67:F68"/>
    <mergeCell ref="A67:A69"/>
    <mergeCell ref="B67:B69"/>
    <mergeCell ref="C67:D69"/>
    <mergeCell ref="C70:D70"/>
    <mergeCell ref="C76:D76"/>
    <mergeCell ref="C77:D77"/>
    <mergeCell ref="C78:D78"/>
    <mergeCell ref="C79:D79"/>
    <mergeCell ref="C80:D80"/>
    <mergeCell ref="C81:D81"/>
    <mergeCell ref="C82:D82"/>
    <mergeCell ref="C83:D83"/>
    <mergeCell ref="C84:D84"/>
    <mergeCell ref="C85:D85"/>
    <mergeCell ref="A6:D6"/>
    <mergeCell ref="A1:D1"/>
    <mergeCell ref="A3:D3"/>
    <mergeCell ref="A4:D4"/>
    <mergeCell ref="A5:D5"/>
    <mergeCell ref="B2:D2"/>
    <mergeCell ref="A7:D7"/>
    <mergeCell ref="A8:D8"/>
    <mergeCell ref="A9:D9"/>
    <mergeCell ref="A10:D10"/>
    <mergeCell ref="A11:D11"/>
    <mergeCell ref="C26:D26"/>
    <mergeCell ref="C27:D27"/>
    <mergeCell ref="C28:D28"/>
    <mergeCell ref="C29:D29"/>
    <mergeCell ref="A12:D12"/>
    <mergeCell ref="A13:D15"/>
    <mergeCell ref="A16:A18"/>
    <mergeCell ref="B16:B18"/>
    <mergeCell ref="C16:D18"/>
    <mergeCell ref="F57:F58"/>
    <mergeCell ref="G57:G58"/>
    <mergeCell ref="H57:H58"/>
    <mergeCell ref="A58:D58"/>
    <mergeCell ref="C19:D19"/>
    <mergeCell ref="A56:I56"/>
    <mergeCell ref="C50:D50"/>
    <mergeCell ref="A52:H52"/>
    <mergeCell ref="A53:H53"/>
    <mergeCell ref="A55:H55"/>
    <mergeCell ref="C20:D20"/>
    <mergeCell ref="C21:D21"/>
    <mergeCell ref="C22:D22"/>
    <mergeCell ref="C23:D23"/>
    <mergeCell ref="C24:D24"/>
    <mergeCell ref="C25:D25"/>
    <mergeCell ref="C30:D30"/>
    <mergeCell ref="C31:D31"/>
    <mergeCell ref="C32:D32"/>
    <mergeCell ref="C33:D33"/>
    <mergeCell ref="E57:E58"/>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A57:D57"/>
    <mergeCell ref="C86:D86"/>
    <mergeCell ref="C87:D87"/>
    <mergeCell ref="C88:D88"/>
    <mergeCell ref="C89:D89"/>
    <mergeCell ref="C72:D72"/>
    <mergeCell ref="C73:D73"/>
    <mergeCell ref="C74:D74"/>
    <mergeCell ref="C75:D75"/>
    <mergeCell ref="C71:D71"/>
    <mergeCell ref="C90:D90"/>
    <mergeCell ref="C91:D91"/>
    <mergeCell ref="C92:D92"/>
    <mergeCell ref="C93:D93"/>
    <mergeCell ref="C94:D94"/>
    <mergeCell ref="C100:D100"/>
    <mergeCell ref="C95:D95"/>
    <mergeCell ref="C96:D96"/>
    <mergeCell ref="C97:D97"/>
    <mergeCell ref="C98:D98"/>
    <mergeCell ref="C99:D99"/>
  </mergeCells>
  <pageMargins left="0.7" right="0.7" top="0.75" bottom="0.75" header="0.3" footer="0.3"/>
  <pageSetup paperSize="9" scale="5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7"/>
  <sheetViews>
    <sheetView topLeftCell="A15" zoomScale="90" zoomScaleNormal="90" workbookViewId="0">
      <selection activeCell="A18" sqref="A18:G50"/>
    </sheetView>
  </sheetViews>
  <sheetFormatPr defaultColWidth="8.85546875" defaultRowHeight="12.75" x14ac:dyDescent="0.2"/>
  <cols>
    <col min="1" max="1" width="45.5703125" style="2" customWidth="1"/>
    <col min="2" max="2" width="24.7109375" style="2" customWidth="1"/>
    <col min="3" max="3" width="28" style="2" customWidth="1"/>
    <col min="4" max="4" width="17.28515625" style="2" bestFit="1" customWidth="1"/>
    <col min="5" max="5" width="20.28515625" style="2" customWidth="1"/>
    <col min="6" max="16384" width="8.85546875" style="2"/>
  </cols>
  <sheetData>
    <row r="1" spans="1:5" x14ac:dyDescent="0.2">
      <c r="B1" s="476"/>
      <c r="C1" s="10" t="s">
        <v>406</v>
      </c>
      <c r="D1" s="10"/>
    </row>
    <row r="2" spans="1:5" ht="79.5" customHeight="1" x14ac:dyDescent="0.2">
      <c r="A2" s="412"/>
      <c r="B2" s="927" t="s">
        <v>446</v>
      </c>
      <c r="C2" s="673"/>
      <c r="D2" s="477"/>
      <c r="E2" s="477"/>
    </row>
    <row r="3" spans="1:5" ht="7.5" customHeight="1" x14ac:dyDescent="0.25">
      <c r="A3" s="761"/>
      <c r="B3" s="761"/>
      <c r="C3" s="761"/>
    </row>
    <row r="4" spans="1:5" ht="1.5" customHeight="1" x14ac:dyDescent="0.25">
      <c r="A4" s="761"/>
      <c r="B4" s="761"/>
      <c r="C4" s="761"/>
    </row>
    <row r="5" spans="1:5" ht="2.25" customHeight="1" x14ac:dyDescent="0.25">
      <c r="A5" s="761"/>
      <c r="B5" s="761"/>
      <c r="C5" s="761"/>
    </row>
    <row r="6" spans="1:5" ht="3" customHeight="1" x14ac:dyDescent="0.25">
      <c r="A6" s="761"/>
      <c r="B6" s="761"/>
      <c r="C6" s="761"/>
    </row>
    <row r="7" spans="1:5" ht="4.5" customHeight="1" x14ac:dyDescent="0.2">
      <c r="A7" s="795"/>
      <c r="B7" s="795"/>
      <c r="C7" s="795"/>
    </row>
    <row r="8" spans="1:5" ht="18.75" x14ac:dyDescent="0.3">
      <c r="A8" s="797" t="s">
        <v>17</v>
      </c>
      <c r="B8" s="797"/>
      <c r="C8" s="797"/>
    </row>
    <row r="9" spans="1:5" ht="62.25" customHeight="1" x14ac:dyDescent="0.2">
      <c r="A9" s="825" t="s">
        <v>407</v>
      </c>
      <c r="B9" s="825"/>
      <c r="C9" s="825"/>
    </row>
    <row r="10" spans="1:5" ht="18.75" x14ac:dyDescent="0.3">
      <c r="A10" s="797"/>
      <c r="B10" s="797"/>
      <c r="C10" s="797"/>
    </row>
    <row r="11" spans="1:5" ht="18.75" x14ac:dyDescent="0.3">
      <c r="A11" s="797" t="s">
        <v>447</v>
      </c>
      <c r="B11" s="797"/>
      <c r="C11" s="797"/>
    </row>
    <row r="12" spans="1:5" ht="12.75" customHeight="1" x14ac:dyDescent="0.2">
      <c r="A12" s="781" t="s">
        <v>106</v>
      </c>
      <c r="B12" s="781"/>
      <c r="C12" s="781"/>
    </row>
    <row r="13" spans="1:5" ht="8.25" customHeight="1" x14ac:dyDescent="0.2">
      <c r="A13" s="781"/>
      <c r="B13" s="781"/>
      <c r="C13" s="781"/>
    </row>
    <row r="14" spans="1:5" ht="2.25" hidden="1" customHeight="1" x14ac:dyDescent="0.2">
      <c r="A14" s="800"/>
      <c r="B14" s="800"/>
      <c r="C14" s="800"/>
    </row>
    <row r="15" spans="1:5" ht="42" customHeight="1" x14ac:dyDescent="0.2">
      <c r="A15" s="931" t="s">
        <v>159</v>
      </c>
      <c r="B15" s="719" t="s">
        <v>692</v>
      </c>
      <c r="C15" s="719" t="s">
        <v>693</v>
      </c>
      <c r="D15" s="693" t="s">
        <v>703</v>
      </c>
      <c r="E15" s="698"/>
    </row>
    <row r="16" spans="1:5" ht="114.75" customHeight="1" x14ac:dyDescent="0.2">
      <c r="A16" s="694"/>
      <c r="B16" s="737"/>
      <c r="C16" s="737"/>
      <c r="D16" s="490" t="s">
        <v>706</v>
      </c>
      <c r="E16" s="490" t="s">
        <v>705</v>
      </c>
    </row>
    <row r="17" spans="1:5" x14ac:dyDescent="0.2">
      <c r="A17" s="128">
        <v>1</v>
      </c>
      <c r="B17" s="128">
        <v>2</v>
      </c>
      <c r="C17" s="128">
        <v>3</v>
      </c>
      <c r="D17" s="46">
        <v>4</v>
      </c>
      <c r="E17" s="46">
        <v>5</v>
      </c>
    </row>
    <row r="18" spans="1:5" ht="30" x14ac:dyDescent="0.25">
      <c r="A18" s="538" t="s">
        <v>268</v>
      </c>
      <c r="B18" s="332">
        <v>4</v>
      </c>
      <c r="C18" s="332">
        <v>4</v>
      </c>
      <c r="D18" s="46">
        <f>100*B18/C18</f>
        <v>100</v>
      </c>
      <c r="E18" s="46">
        <v>0</v>
      </c>
    </row>
    <row r="19" spans="1:5" ht="30" x14ac:dyDescent="0.25">
      <c r="A19" s="538" t="s">
        <v>292</v>
      </c>
      <c r="B19" s="332">
        <v>5</v>
      </c>
      <c r="C19" s="332">
        <v>5</v>
      </c>
      <c r="D19" s="46">
        <f>100*B19/C19</f>
        <v>100</v>
      </c>
      <c r="E19" s="46">
        <v>0</v>
      </c>
    </row>
    <row r="20" spans="1:5" ht="15.75" x14ac:dyDescent="0.25">
      <c r="A20" s="541" t="s">
        <v>291</v>
      </c>
      <c r="B20" s="332">
        <v>2</v>
      </c>
      <c r="C20" s="332">
        <v>2</v>
      </c>
      <c r="D20" s="46">
        <f t="shared" ref="D20:D47" si="0">100*B20/C20</f>
        <v>100</v>
      </c>
      <c r="E20" s="46">
        <v>0</v>
      </c>
    </row>
    <row r="21" spans="1:5" ht="30" x14ac:dyDescent="0.25">
      <c r="A21" s="538" t="s">
        <v>271</v>
      </c>
      <c r="B21" s="332">
        <v>154</v>
      </c>
      <c r="C21" s="332">
        <v>154</v>
      </c>
      <c r="D21" s="46">
        <f t="shared" si="0"/>
        <v>100</v>
      </c>
      <c r="E21" s="46">
        <v>0</v>
      </c>
    </row>
    <row r="22" spans="1:5" ht="30" x14ac:dyDescent="0.25">
      <c r="A22" s="538" t="s">
        <v>320</v>
      </c>
      <c r="B22" s="332">
        <v>0</v>
      </c>
      <c r="C22" s="332">
        <v>0</v>
      </c>
      <c r="D22" s="46" t="e">
        <f t="shared" si="0"/>
        <v>#DIV/0!</v>
      </c>
      <c r="E22" s="1009" t="s">
        <v>264</v>
      </c>
    </row>
    <row r="23" spans="1:5" ht="15.75" x14ac:dyDescent="0.25">
      <c r="A23" s="537" t="s">
        <v>293</v>
      </c>
      <c r="B23" s="332">
        <v>0</v>
      </c>
      <c r="C23" s="332">
        <v>0</v>
      </c>
      <c r="D23" s="46" t="e">
        <f t="shared" si="0"/>
        <v>#DIV/0!</v>
      </c>
      <c r="E23" s="1009" t="s">
        <v>264</v>
      </c>
    </row>
    <row r="24" spans="1:5" ht="15.75" x14ac:dyDescent="0.25">
      <c r="A24" s="538" t="s">
        <v>294</v>
      </c>
      <c r="B24" s="332">
        <v>0</v>
      </c>
      <c r="C24" s="332">
        <v>0</v>
      </c>
      <c r="D24" s="46" t="e">
        <f t="shared" si="0"/>
        <v>#DIV/0!</v>
      </c>
      <c r="E24" s="1009" t="s">
        <v>264</v>
      </c>
    </row>
    <row r="25" spans="1:5" ht="15.75" x14ac:dyDescent="0.25">
      <c r="A25" s="537" t="s">
        <v>295</v>
      </c>
      <c r="B25" s="332">
        <v>0</v>
      </c>
      <c r="C25" s="332">
        <v>0</v>
      </c>
      <c r="D25" s="46" t="e">
        <f t="shared" si="0"/>
        <v>#DIV/0!</v>
      </c>
      <c r="E25" s="1009" t="s">
        <v>264</v>
      </c>
    </row>
    <row r="26" spans="1:5" ht="15.75" x14ac:dyDescent="0.25">
      <c r="A26" s="540" t="s">
        <v>290</v>
      </c>
      <c r="B26" s="332">
        <v>0</v>
      </c>
      <c r="C26" s="332">
        <v>0</v>
      </c>
      <c r="D26" s="46" t="e">
        <f t="shared" si="0"/>
        <v>#DIV/0!</v>
      </c>
      <c r="E26" s="1009" t="s">
        <v>264</v>
      </c>
    </row>
    <row r="27" spans="1:5" ht="15.75" x14ac:dyDescent="0.25">
      <c r="A27" s="538" t="s">
        <v>296</v>
      </c>
      <c r="B27" s="332">
        <v>0</v>
      </c>
      <c r="C27" s="332">
        <v>0</v>
      </c>
      <c r="D27" s="46" t="e">
        <f t="shared" si="0"/>
        <v>#DIV/0!</v>
      </c>
      <c r="E27" s="1009" t="s">
        <v>264</v>
      </c>
    </row>
    <row r="28" spans="1:5" ht="30" x14ac:dyDescent="0.25">
      <c r="A28" s="538" t="s">
        <v>282</v>
      </c>
      <c r="B28" s="332">
        <v>3</v>
      </c>
      <c r="C28" s="332">
        <v>3</v>
      </c>
      <c r="D28" s="46">
        <f t="shared" si="0"/>
        <v>100</v>
      </c>
      <c r="E28" s="46">
        <v>0</v>
      </c>
    </row>
    <row r="29" spans="1:5" ht="15.75" x14ac:dyDescent="0.25">
      <c r="A29" s="537" t="s">
        <v>297</v>
      </c>
      <c r="B29" s="332">
        <v>13</v>
      </c>
      <c r="C29" s="332">
        <v>13</v>
      </c>
      <c r="D29" s="46">
        <f t="shared" si="0"/>
        <v>100</v>
      </c>
      <c r="E29" s="46">
        <v>0</v>
      </c>
    </row>
    <row r="30" spans="1:5" ht="15.75" x14ac:dyDescent="0.25">
      <c r="A30" s="538" t="s">
        <v>283</v>
      </c>
      <c r="B30" s="332">
        <v>1</v>
      </c>
      <c r="C30" s="332">
        <v>1</v>
      </c>
      <c r="D30" s="46">
        <f t="shared" si="0"/>
        <v>100</v>
      </c>
      <c r="E30" s="46">
        <v>0</v>
      </c>
    </row>
    <row r="31" spans="1:5" ht="18" customHeight="1" x14ac:dyDescent="0.25">
      <c r="A31" s="538" t="s">
        <v>319</v>
      </c>
      <c r="B31" s="332">
        <v>26</v>
      </c>
      <c r="C31" s="332">
        <v>26</v>
      </c>
      <c r="D31" s="46">
        <f t="shared" si="0"/>
        <v>100</v>
      </c>
      <c r="E31" s="46">
        <v>0</v>
      </c>
    </row>
    <row r="32" spans="1:5" ht="30" x14ac:dyDescent="0.2">
      <c r="A32" s="538" t="s">
        <v>281</v>
      </c>
      <c r="B32" s="254">
        <v>2</v>
      </c>
      <c r="C32" s="254">
        <v>2</v>
      </c>
      <c r="D32" s="46">
        <f t="shared" si="0"/>
        <v>100</v>
      </c>
      <c r="E32" s="46">
        <v>0</v>
      </c>
    </row>
    <row r="33" spans="1:5" ht="30" x14ac:dyDescent="0.2">
      <c r="A33" s="541" t="s">
        <v>299</v>
      </c>
      <c r="B33" s="254">
        <v>8</v>
      </c>
      <c r="C33" s="254">
        <v>8</v>
      </c>
      <c r="D33" s="46">
        <f t="shared" si="0"/>
        <v>100</v>
      </c>
      <c r="E33" s="46">
        <v>0</v>
      </c>
    </row>
    <row r="34" spans="1:5" ht="30" x14ac:dyDescent="0.2">
      <c r="A34" s="538" t="s">
        <v>269</v>
      </c>
      <c r="B34" s="254">
        <v>22</v>
      </c>
      <c r="C34" s="254">
        <v>22</v>
      </c>
      <c r="D34" s="46">
        <f t="shared" si="0"/>
        <v>100</v>
      </c>
      <c r="E34" s="46">
        <v>0</v>
      </c>
    </row>
    <row r="35" spans="1:5" ht="30" x14ac:dyDescent="0.2">
      <c r="A35" s="538" t="s">
        <v>286</v>
      </c>
      <c r="B35" s="254">
        <v>1</v>
      </c>
      <c r="C35" s="254">
        <v>1</v>
      </c>
      <c r="D35" s="46">
        <f t="shared" si="0"/>
        <v>100</v>
      </c>
      <c r="E35" s="46">
        <v>0</v>
      </c>
    </row>
    <row r="36" spans="1:5" ht="15.75" x14ac:dyDescent="0.25">
      <c r="A36" s="541" t="s">
        <v>300</v>
      </c>
      <c r="B36" s="332">
        <v>6</v>
      </c>
      <c r="C36" s="332">
        <v>6</v>
      </c>
      <c r="D36" s="46">
        <f t="shared" si="0"/>
        <v>100</v>
      </c>
      <c r="E36" s="46">
        <v>0</v>
      </c>
    </row>
    <row r="37" spans="1:5" ht="30" x14ac:dyDescent="0.2">
      <c r="A37" s="538" t="s">
        <v>270</v>
      </c>
      <c r="B37" s="254">
        <v>2</v>
      </c>
      <c r="C37" s="254">
        <v>2</v>
      </c>
      <c r="D37" s="46">
        <f t="shared" si="0"/>
        <v>100</v>
      </c>
      <c r="E37" s="46">
        <v>0</v>
      </c>
    </row>
    <row r="38" spans="1:5" ht="30" x14ac:dyDescent="0.2">
      <c r="A38" s="538" t="s">
        <v>274</v>
      </c>
      <c r="B38" s="254">
        <v>1</v>
      </c>
      <c r="C38" s="254">
        <v>1</v>
      </c>
      <c r="D38" s="46">
        <f t="shared" si="0"/>
        <v>100</v>
      </c>
      <c r="E38" s="46">
        <v>0</v>
      </c>
    </row>
    <row r="39" spans="1:5" ht="21.75" customHeight="1" x14ac:dyDescent="0.2">
      <c r="A39" s="541" t="s">
        <v>301</v>
      </c>
      <c r="B39" s="254">
        <v>2</v>
      </c>
      <c r="C39" s="254">
        <v>2</v>
      </c>
      <c r="D39" s="46">
        <f t="shared" si="0"/>
        <v>100</v>
      </c>
      <c r="E39" s="46">
        <v>0</v>
      </c>
    </row>
    <row r="40" spans="1:5" ht="22.5" customHeight="1" x14ac:dyDescent="0.2">
      <c r="A40" s="538" t="s">
        <v>275</v>
      </c>
      <c r="B40" s="254">
        <v>30</v>
      </c>
      <c r="C40" s="254">
        <v>30</v>
      </c>
      <c r="D40" s="46">
        <f t="shared" si="0"/>
        <v>100</v>
      </c>
      <c r="E40" s="46">
        <v>0</v>
      </c>
    </row>
    <row r="41" spans="1:5" ht="44.25" customHeight="1" x14ac:dyDescent="0.2">
      <c r="A41" s="538" t="s">
        <v>276</v>
      </c>
      <c r="B41" s="254">
        <v>9</v>
      </c>
      <c r="C41" s="254">
        <v>9</v>
      </c>
      <c r="D41" s="46">
        <f t="shared" si="0"/>
        <v>100</v>
      </c>
      <c r="E41" s="46">
        <v>0</v>
      </c>
    </row>
    <row r="42" spans="1:5" ht="48.75" customHeight="1" x14ac:dyDescent="0.2">
      <c r="A42" s="538" t="s">
        <v>277</v>
      </c>
      <c r="B42" s="254">
        <v>12</v>
      </c>
      <c r="C42" s="254">
        <v>12</v>
      </c>
      <c r="D42" s="46">
        <f t="shared" si="0"/>
        <v>100</v>
      </c>
      <c r="E42" s="46">
        <v>0</v>
      </c>
    </row>
    <row r="43" spans="1:5" ht="42.75" customHeight="1" x14ac:dyDescent="0.2">
      <c r="A43" s="538" t="s">
        <v>278</v>
      </c>
      <c r="B43" s="254">
        <v>11</v>
      </c>
      <c r="C43" s="254">
        <v>11</v>
      </c>
      <c r="D43" s="46">
        <f t="shared" si="0"/>
        <v>100</v>
      </c>
      <c r="E43" s="46">
        <v>0</v>
      </c>
    </row>
    <row r="44" spans="1:5" ht="48.75" customHeight="1" x14ac:dyDescent="0.2">
      <c r="A44" s="538" t="s">
        <v>279</v>
      </c>
      <c r="B44" s="254">
        <v>6</v>
      </c>
      <c r="C44" s="254">
        <v>6</v>
      </c>
      <c r="D44" s="46">
        <f t="shared" si="0"/>
        <v>100</v>
      </c>
      <c r="E44" s="46">
        <v>0</v>
      </c>
    </row>
    <row r="45" spans="1:5" ht="50.25" customHeight="1" x14ac:dyDescent="0.2">
      <c r="A45" s="538" t="s">
        <v>280</v>
      </c>
      <c r="B45" s="254">
        <v>13</v>
      </c>
      <c r="C45" s="254">
        <v>13</v>
      </c>
      <c r="D45" s="46">
        <f t="shared" si="0"/>
        <v>100</v>
      </c>
      <c r="E45" s="46">
        <v>0</v>
      </c>
    </row>
    <row r="46" spans="1:5" ht="46.5" customHeight="1" x14ac:dyDescent="0.2">
      <c r="A46" s="538" t="s">
        <v>272</v>
      </c>
      <c r="B46" s="254">
        <v>9</v>
      </c>
      <c r="C46" s="254">
        <v>9</v>
      </c>
      <c r="D46" s="46">
        <f t="shared" si="0"/>
        <v>100</v>
      </c>
      <c r="E46" s="46">
        <v>0</v>
      </c>
    </row>
    <row r="47" spans="1:5" ht="39.75" customHeight="1" x14ac:dyDescent="0.2">
      <c r="A47" s="538" t="s">
        <v>273</v>
      </c>
      <c r="B47" s="254">
        <v>11</v>
      </c>
      <c r="C47" s="254">
        <v>11</v>
      </c>
      <c r="D47" s="46">
        <f t="shared" si="0"/>
        <v>100</v>
      </c>
      <c r="E47" s="46">
        <v>0</v>
      </c>
    </row>
    <row r="48" spans="1:5" ht="15.75" x14ac:dyDescent="0.25">
      <c r="A48" s="4" t="s">
        <v>27</v>
      </c>
      <c r="B48" s="333">
        <f>SUM(B18:B47)</f>
        <v>353</v>
      </c>
      <c r="C48" s="334">
        <f>SUM(C18:C47)</f>
        <v>353</v>
      </c>
    </row>
    <row r="49" spans="1:8" ht="7.5" customHeight="1" x14ac:dyDescent="0.2"/>
    <row r="50" spans="1:8" ht="15" x14ac:dyDescent="0.25">
      <c r="A50" s="777" t="s">
        <v>408</v>
      </c>
      <c r="B50" s="777"/>
      <c r="C50" s="777"/>
      <c r="D50" s="777"/>
      <c r="E50" s="777"/>
      <c r="F50" s="777"/>
      <c r="G50" s="777"/>
    </row>
    <row r="51" spans="1:8" ht="15" x14ac:dyDescent="0.25">
      <c r="A51" s="777" t="s">
        <v>193</v>
      </c>
      <c r="B51" s="777"/>
      <c r="C51" s="777"/>
      <c r="D51" s="777"/>
      <c r="E51" s="777"/>
      <c r="F51" s="777"/>
      <c r="G51" s="777"/>
    </row>
    <row r="52" spans="1:8" ht="15" x14ac:dyDescent="0.2">
      <c r="A52" s="781" t="s">
        <v>427</v>
      </c>
      <c r="B52" s="781"/>
      <c r="C52" s="781"/>
      <c r="D52" s="781"/>
      <c r="E52" s="781"/>
      <c r="F52" s="781"/>
      <c r="G52" s="781"/>
      <c r="H52" s="781"/>
    </row>
    <row r="53" spans="1:8" ht="15" x14ac:dyDescent="0.2">
      <c r="A53" s="781" t="s">
        <v>426</v>
      </c>
      <c r="B53" s="781"/>
      <c r="C53" s="781"/>
      <c r="D53" s="781"/>
      <c r="E53" s="781"/>
      <c r="F53" s="781"/>
      <c r="G53" s="781"/>
      <c r="H53" s="781"/>
    </row>
    <row r="54" spans="1:8" ht="15" x14ac:dyDescent="0.2">
      <c r="A54" s="781" t="s">
        <v>428</v>
      </c>
      <c r="B54" s="781"/>
      <c r="C54" s="781"/>
      <c r="D54" s="781"/>
      <c r="E54" s="781"/>
      <c r="F54" s="781"/>
      <c r="G54" s="781"/>
      <c r="H54" s="781"/>
    </row>
    <row r="55" spans="1:8" ht="15.75" x14ac:dyDescent="0.25">
      <c r="A55" s="329" t="s">
        <v>602</v>
      </c>
    </row>
    <row r="57" spans="1:8" x14ac:dyDescent="0.2">
      <c r="A57" s="491" t="s">
        <v>707</v>
      </c>
    </row>
    <row r="61" spans="1:8" ht="12.75" customHeight="1" x14ac:dyDescent="0.2">
      <c r="A61" s="932"/>
      <c r="B61" s="933"/>
      <c r="C61" s="933"/>
      <c r="D61" s="934"/>
      <c r="E61" s="934"/>
    </row>
    <row r="62" spans="1:8" ht="12.75" customHeight="1" x14ac:dyDescent="0.2">
      <c r="A62" s="932"/>
      <c r="B62" s="933"/>
      <c r="C62" s="933"/>
      <c r="D62" s="934"/>
      <c r="E62" s="934"/>
    </row>
    <row r="63" spans="1:8" ht="78.75" customHeight="1" x14ac:dyDescent="0.2">
      <c r="A63" s="932"/>
      <c r="B63" s="933"/>
      <c r="C63" s="933"/>
      <c r="D63" s="113"/>
      <c r="E63" s="31"/>
    </row>
    <row r="64" spans="1:8" ht="15.75" x14ac:dyDescent="0.25">
      <c r="A64" s="335"/>
      <c r="B64" s="335"/>
      <c r="C64" s="335"/>
      <c r="D64" s="336"/>
      <c r="E64" s="336"/>
    </row>
    <row r="65" spans="1:5" ht="15.75" x14ac:dyDescent="0.2">
      <c r="A65" s="337"/>
      <c r="B65" s="338"/>
      <c r="C65" s="338"/>
      <c r="D65" s="338"/>
      <c r="E65" s="339"/>
    </row>
    <row r="66" spans="1:5" ht="15.75" x14ac:dyDescent="0.2">
      <c r="A66" s="340"/>
      <c r="B66" s="336"/>
      <c r="C66" s="338"/>
      <c r="D66" s="338"/>
      <c r="E66" s="339"/>
    </row>
    <row r="67" spans="1:5" ht="15.75" x14ac:dyDescent="0.2">
      <c r="A67" s="340"/>
      <c r="B67" s="338"/>
      <c r="C67" s="338"/>
      <c r="D67" s="338"/>
      <c r="E67" s="339"/>
    </row>
    <row r="68" spans="1:5" ht="15.75" x14ac:dyDescent="0.2">
      <c r="A68" s="337"/>
      <c r="B68" s="336"/>
      <c r="C68" s="338"/>
      <c r="D68" s="338"/>
      <c r="E68" s="339"/>
    </row>
    <row r="69" spans="1:5" ht="15.75" x14ac:dyDescent="0.2">
      <c r="A69" s="340"/>
      <c r="B69" s="338"/>
      <c r="C69" s="338"/>
      <c r="D69" s="338"/>
      <c r="E69" s="339"/>
    </row>
    <row r="70" spans="1:5" ht="15.75" x14ac:dyDescent="0.2">
      <c r="A70" s="341"/>
      <c r="B70" s="338"/>
      <c r="C70" s="338"/>
      <c r="D70" s="338"/>
      <c r="E70" s="339"/>
    </row>
    <row r="71" spans="1:5" ht="15.75" x14ac:dyDescent="0.2">
      <c r="A71" s="337"/>
      <c r="B71" s="338"/>
      <c r="C71" s="338"/>
      <c r="D71" s="338"/>
      <c r="E71" s="339"/>
    </row>
    <row r="72" spans="1:5" ht="15.75" x14ac:dyDescent="0.2">
      <c r="A72" s="341"/>
      <c r="B72" s="338"/>
      <c r="C72" s="338"/>
      <c r="D72" s="338"/>
      <c r="E72" s="339"/>
    </row>
    <row r="73" spans="1:5" ht="15.75" x14ac:dyDescent="0.2">
      <c r="A73" s="341"/>
      <c r="B73" s="338"/>
      <c r="C73" s="338"/>
      <c r="D73" s="338"/>
      <c r="E73" s="339"/>
    </row>
    <row r="74" spans="1:5" ht="15.75" x14ac:dyDescent="0.2">
      <c r="A74" s="337"/>
      <c r="B74" s="338"/>
      <c r="C74" s="338"/>
      <c r="D74" s="338"/>
      <c r="E74" s="339"/>
    </row>
    <row r="75" spans="1:5" ht="15.75" x14ac:dyDescent="0.2">
      <c r="A75" s="337"/>
      <c r="B75" s="338"/>
      <c r="C75" s="338"/>
      <c r="D75" s="338"/>
      <c r="E75" s="339"/>
    </row>
    <row r="76" spans="1:5" ht="15.75" x14ac:dyDescent="0.2">
      <c r="A76" s="341"/>
      <c r="B76" s="338"/>
      <c r="C76" s="338"/>
      <c r="D76" s="338"/>
      <c r="E76" s="339"/>
    </row>
    <row r="77" spans="1:5" ht="15.75" x14ac:dyDescent="0.2">
      <c r="A77" s="337"/>
      <c r="B77" s="338"/>
      <c r="C77" s="338"/>
      <c r="D77" s="338"/>
      <c r="E77" s="339"/>
    </row>
    <row r="78" spans="1:5" ht="15.75" x14ac:dyDescent="0.2">
      <c r="A78" s="337"/>
      <c r="B78" s="338"/>
      <c r="C78" s="338"/>
      <c r="D78" s="338"/>
      <c r="E78" s="339"/>
    </row>
    <row r="79" spans="1:5" ht="15.75" x14ac:dyDescent="0.2">
      <c r="A79" s="337"/>
      <c r="B79" s="338"/>
      <c r="C79" s="338"/>
      <c r="D79" s="338"/>
      <c r="E79" s="339"/>
    </row>
    <row r="80" spans="1:5" ht="15.75" x14ac:dyDescent="0.2">
      <c r="A80" s="340"/>
      <c r="B80" s="338"/>
      <c r="C80" s="338"/>
      <c r="D80" s="338"/>
      <c r="E80" s="339"/>
    </row>
    <row r="81" spans="1:5" ht="15.75" x14ac:dyDescent="0.2">
      <c r="A81" s="337"/>
      <c r="B81" s="338"/>
      <c r="C81" s="338"/>
      <c r="D81" s="338"/>
      <c r="E81" s="339"/>
    </row>
    <row r="82" spans="1:5" ht="15.75" x14ac:dyDescent="0.2">
      <c r="A82" s="337"/>
      <c r="B82" s="338"/>
      <c r="C82" s="338"/>
      <c r="D82" s="338"/>
      <c r="E82" s="339"/>
    </row>
    <row r="83" spans="1:5" ht="15.75" x14ac:dyDescent="0.2">
      <c r="A83" s="340"/>
      <c r="B83" s="338"/>
      <c r="C83" s="338"/>
      <c r="D83" s="338"/>
      <c r="E83" s="339"/>
    </row>
    <row r="84" spans="1:5" ht="15.75" x14ac:dyDescent="0.2">
      <c r="A84" s="337"/>
      <c r="B84" s="338"/>
      <c r="C84" s="338"/>
      <c r="D84" s="338"/>
      <c r="E84" s="339"/>
    </row>
    <row r="85" spans="1:5" ht="15.75" x14ac:dyDescent="0.2">
      <c r="A85" s="337"/>
      <c r="B85" s="338"/>
      <c r="C85" s="338"/>
      <c r="D85" s="338"/>
      <c r="E85" s="339"/>
    </row>
    <row r="86" spans="1:5" ht="15.75" x14ac:dyDescent="0.2">
      <c r="A86" s="340"/>
      <c r="B86" s="338"/>
      <c r="C86" s="338"/>
      <c r="D86" s="338"/>
      <c r="E86" s="339"/>
    </row>
    <row r="87" spans="1:5" ht="15.75" x14ac:dyDescent="0.2">
      <c r="A87" s="337"/>
      <c r="B87" s="342"/>
      <c r="C87" s="342"/>
      <c r="D87" s="338"/>
      <c r="E87" s="339"/>
    </row>
    <row r="88" spans="1:5" ht="15.75" x14ac:dyDescent="0.2">
      <c r="A88" s="337"/>
      <c r="B88" s="338"/>
      <c r="C88" s="338"/>
      <c r="D88" s="338"/>
      <c r="E88" s="339"/>
    </row>
    <row r="89" spans="1:5" ht="15.75" x14ac:dyDescent="0.2">
      <c r="A89" s="337"/>
      <c r="B89" s="338"/>
      <c r="C89" s="338"/>
      <c r="D89" s="338"/>
      <c r="E89" s="339"/>
    </row>
    <row r="90" spans="1:5" ht="15.75" x14ac:dyDescent="0.2">
      <c r="A90" s="337"/>
      <c r="B90" s="338"/>
      <c r="C90" s="338"/>
      <c r="D90" s="338"/>
      <c r="E90" s="339"/>
    </row>
    <row r="91" spans="1:5" ht="15.75" x14ac:dyDescent="0.2">
      <c r="A91" s="337"/>
      <c r="B91" s="338"/>
      <c r="C91" s="338"/>
      <c r="D91" s="338"/>
      <c r="E91" s="339"/>
    </row>
    <row r="92" spans="1:5" ht="15.75" x14ac:dyDescent="0.2">
      <c r="A92" s="337"/>
      <c r="B92" s="338"/>
      <c r="C92" s="338"/>
      <c r="D92" s="338"/>
      <c r="E92" s="339"/>
    </row>
    <row r="93" spans="1:5" ht="15.75" x14ac:dyDescent="0.2">
      <c r="A93" s="337"/>
      <c r="B93" s="338"/>
      <c r="C93" s="338"/>
      <c r="D93" s="338"/>
      <c r="E93" s="339"/>
    </row>
    <row r="94" spans="1:5" ht="15.75" x14ac:dyDescent="0.2">
      <c r="A94" s="337"/>
      <c r="B94" s="338"/>
      <c r="C94" s="338"/>
      <c r="D94" s="338"/>
      <c r="E94" s="339"/>
    </row>
    <row r="95" spans="1:5" ht="15.75" x14ac:dyDescent="0.25">
      <c r="A95" s="343"/>
      <c r="B95" s="342"/>
      <c r="C95" s="342"/>
      <c r="D95" s="336"/>
      <c r="E95" s="336"/>
    </row>
    <row r="96" spans="1:5" ht="15.75" x14ac:dyDescent="0.25">
      <c r="A96" s="75"/>
      <c r="B96" s="344"/>
      <c r="C96" s="345"/>
      <c r="D96" s="75"/>
      <c r="E96" s="75"/>
    </row>
    <row r="97" spans="1:5" x14ac:dyDescent="0.2">
      <c r="A97" s="75"/>
      <c r="B97" s="75"/>
      <c r="C97" s="75"/>
      <c r="D97" s="75"/>
      <c r="E97" s="75"/>
    </row>
  </sheetData>
  <mergeCells count="24">
    <mergeCell ref="A6:C6"/>
    <mergeCell ref="A3:C3"/>
    <mergeCell ref="A4:C4"/>
    <mergeCell ref="A5:C5"/>
    <mergeCell ref="B2:C2"/>
    <mergeCell ref="A12:C14"/>
    <mergeCell ref="A7:C7"/>
    <mergeCell ref="A8:C8"/>
    <mergeCell ref="A9:C9"/>
    <mergeCell ref="A10:C10"/>
    <mergeCell ref="A11:C11"/>
    <mergeCell ref="B15:B16"/>
    <mergeCell ref="C15:C16"/>
    <mergeCell ref="A15:A16"/>
    <mergeCell ref="D15:E15"/>
    <mergeCell ref="A61:A63"/>
    <mergeCell ref="B61:B63"/>
    <mergeCell ref="C61:C63"/>
    <mergeCell ref="D61:E62"/>
    <mergeCell ref="A50:G50"/>
    <mergeCell ref="A51:G51"/>
    <mergeCell ref="A52:H52"/>
    <mergeCell ref="A53:H53"/>
    <mergeCell ref="A54:H54"/>
  </mergeCells>
  <pageMargins left="0.86614173228346458" right="0.70866141732283472" top="0.74803149606299213" bottom="0.74803149606299213" header="0.31496062992125984" footer="0.31496062992125984"/>
  <pageSetup paperSize="9" scale="53"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39"/>
  <sheetViews>
    <sheetView zoomScale="60" zoomScaleNormal="60" workbookViewId="0">
      <selection activeCell="E28" sqref="E28"/>
    </sheetView>
  </sheetViews>
  <sheetFormatPr defaultRowHeight="12.75" x14ac:dyDescent="0.2"/>
  <cols>
    <col min="1" max="1" width="26" customWidth="1"/>
    <col min="2" max="2" width="17" customWidth="1"/>
    <col min="3" max="3" width="18.140625" customWidth="1"/>
    <col min="4" max="4" width="15.85546875" customWidth="1"/>
    <col min="5" max="5" width="30.7109375" customWidth="1"/>
    <col min="6" max="6" width="19.42578125" customWidth="1"/>
    <col min="7" max="7" width="28.42578125" customWidth="1"/>
    <col min="8" max="8" width="22.42578125" customWidth="1"/>
    <col min="9" max="9" width="23.140625" customWidth="1"/>
    <col min="10" max="10" width="14.140625" customWidth="1"/>
    <col min="11" max="11" width="29.85546875" customWidth="1"/>
    <col min="12" max="12" width="19.140625" customWidth="1"/>
    <col min="13" max="13" width="20.5703125" customWidth="1"/>
    <col min="14" max="14" width="21.5703125" customWidth="1"/>
    <col min="15" max="15" width="18.28515625" customWidth="1"/>
  </cols>
  <sheetData>
    <row r="3" spans="1:24" ht="66" customHeight="1" x14ac:dyDescent="0.2">
      <c r="B3" s="871" t="s">
        <v>496</v>
      </c>
      <c r="C3" s="871"/>
      <c r="D3" s="871"/>
      <c r="E3" s="673"/>
      <c r="F3" s="673"/>
      <c r="G3" s="673"/>
      <c r="H3" s="673"/>
      <c r="I3" s="673"/>
      <c r="J3" s="673"/>
    </row>
    <row r="5" spans="1:24" ht="79.5" customHeight="1" x14ac:dyDescent="0.2">
      <c r="A5" s="938" t="s">
        <v>159</v>
      </c>
      <c r="B5" s="939" t="s">
        <v>494</v>
      </c>
      <c r="C5" s="941" t="s">
        <v>493</v>
      </c>
      <c r="D5" s="936" t="s">
        <v>492</v>
      </c>
      <c r="E5" s="937"/>
      <c r="F5" s="936" t="s">
        <v>497</v>
      </c>
      <c r="G5" s="937"/>
      <c r="H5" s="873" t="s">
        <v>208</v>
      </c>
      <c r="I5" s="873"/>
      <c r="J5" s="873"/>
      <c r="K5" s="873"/>
      <c r="L5" s="873" t="s">
        <v>247</v>
      </c>
      <c r="M5" s="873"/>
      <c r="N5" s="873"/>
      <c r="O5" s="935"/>
    </row>
    <row r="6" spans="1:24" ht="222" customHeight="1" x14ac:dyDescent="0.2">
      <c r="A6" s="938"/>
      <c r="B6" s="940"/>
      <c r="C6" s="916"/>
      <c r="D6" s="433" t="s">
        <v>495</v>
      </c>
      <c r="E6" s="431" t="s">
        <v>504</v>
      </c>
      <c r="F6" s="433" t="s">
        <v>498</v>
      </c>
      <c r="G6" s="431" t="s">
        <v>499</v>
      </c>
      <c r="H6" s="432" t="s">
        <v>501</v>
      </c>
      <c r="I6" s="433" t="s">
        <v>502</v>
      </c>
      <c r="J6" s="433" t="s">
        <v>500</v>
      </c>
      <c r="K6" s="431" t="s">
        <v>503</v>
      </c>
      <c r="L6" s="434" t="s">
        <v>510</v>
      </c>
      <c r="M6" s="434" t="s">
        <v>509</v>
      </c>
      <c r="N6" s="437" t="s">
        <v>511</v>
      </c>
      <c r="O6" s="436"/>
    </row>
    <row r="7" spans="1:24" x14ac:dyDescent="0.2">
      <c r="A7" s="436">
        <v>1</v>
      </c>
      <c r="B7" s="438">
        <v>2</v>
      </c>
      <c r="C7" s="436">
        <v>3</v>
      </c>
      <c r="D7" s="436">
        <v>4</v>
      </c>
      <c r="E7" s="436">
        <v>5</v>
      </c>
      <c r="F7" s="436">
        <v>6</v>
      </c>
      <c r="G7" s="436">
        <v>7</v>
      </c>
      <c r="H7" s="436">
        <v>8</v>
      </c>
      <c r="I7" s="436">
        <v>9</v>
      </c>
      <c r="J7" s="436">
        <v>10</v>
      </c>
      <c r="K7" s="436">
        <v>11</v>
      </c>
      <c r="L7" s="436">
        <v>12</v>
      </c>
      <c r="M7" s="436">
        <v>13</v>
      </c>
      <c r="N7" s="436">
        <v>14</v>
      </c>
      <c r="O7" s="436">
        <v>15</v>
      </c>
    </row>
    <row r="8" spans="1:24" ht="38.25" x14ac:dyDescent="0.2">
      <c r="A8" s="435" t="s">
        <v>268</v>
      </c>
      <c r="B8" s="9"/>
      <c r="C8" s="9"/>
      <c r="D8" s="9"/>
      <c r="E8" s="953" t="s">
        <v>16</v>
      </c>
      <c r="F8" s="9"/>
      <c r="G8" s="953" t="s">
        <v>16</v>
      </c>
      <c r="H8" s="9"/>
      <c r="I8" s="9"/>
      <c r="J8" s="9"/>
      <c r="K8" s="953" t="s">
        <v>16</v>
      </c>
      <c r="L8" s="9"/>
      <c r="M8" s="9"/>
      <c r="N8" s="9"/>
      <c r="O8" s="953" t="s">
        <v>16</v>
      </c>
      <c r="P8" s="2"/>
      <c r="Q8" s="2"/>
      <c r="R8" s="2"/>
      <c r="S8" s="2"/>
      <c r="T8" s="2"/>
      <c r="U8" s="2"/>
      <c r="V8" s="2"/>
      <c r="W8" s="2"/>
      <c r="X8" s="2"/>
    </row>
    <row r="9" spans="1:24" ht="38.25" x14ac:dyDescent="0.2">
      <c r="A9" s="435" t="s">
        <v>292</v>
      </c>
      <c r="B9" s="9"/>
      <c r="C9" s="9"/>
      <c r="D9" s="9"/>
      <c r="E9" s="953" t="s">
        <v>16</v>
      </c>
      <c r="F9" s="9"/>
      <c r="G9" s="953" t="s">
        <v>16</v>
      </c>
      <c r="H9" s="9"/>
      <c r="I9" s="9"/>
      <c r="J9" s="9"/>
      <c r="K9" s="953" t="s">
        <v>16</v>
      </c>
      <c r="L9" s="9"/>
      <c r="M9" s="9"/>
      <c r="N9" s="9"/>
      <c r="O9" s="953" t="s">
        <v>16</v>
      </c>
      <c r="P9" s="2"/>
      <c r="Q9" s="2"/>
      <c r="R9" s="2"/>
      <c r="S9" s="2"/>
      <c r="T9" s="2"/>
      <c r="U9" s="2"/>
      <c r="V9" s="2"/>
      <c r="W9" s="2"/>
      <c r="X9" s="2"/>
    </row>
    <row r="10" spans="1:24" ht="25.5" x14ac:dyDescent="0.2">
      <c r="A10" s="435" t="s">
        <v>291</v>
      </c>
      <c r="B10" s="9"/>
      <c r="C10" s="9"/>
      <c r="D10" s="9"/>
      <c r="E10" s="953" t="s">
        <v>16</v>
      </c>
      <c r="F10" s="9"/>
      <c r="G10" s="953" t="s">
        <v>16</v>
      </c>
      <c r="H10" s="9"/>
      <c r="I10" s="9"/>
      <c r="J10" s="9"/>
      <c r="K10" s="953" t="s">
        <v>16</v>
      </c>
      <c r="L10" s="9"/>
      <c r="M10" s="9"/>
      <c r="N10" s="9"/>
      <c r="O10" s="953" t="s">
        <v>16</v>
      </c>
      <c r="P10" s="2"/>
      <c r="Q10" s="2"/>
      <c r="R10" s="2"/>
      <c r="S10" s="2"/>
      <c r="T10" s="2"/>
      <c r="U10" s="2"/>
      <c r="V10" s="2"/>
      <c r="W10" s="2"/>
      <c r="X10" s="2"/>
    </row>
    <row r="11" spans="1:24" ht="38.25" x14ac:dyDescent="0.2">
      <c r="A11" s="435" t="s">
        <v>271</v>
      </c>
      <c r="B11" s="9"/>
      <c r="C11" s="9"/>
      <c r="D11" s="9"/>
      <c r="E11" s="953" t="s">
        <v>16</v>
      </c>
      <c r="F11" s="9"/>
      <c r="G11" s="953" t="s">
        <v>16</v>
      </c>
      <c r="H11" s="9"/>
      <c r="I11" s="9"/>
      <c r="J11" s="9"/>
      <c r="K11" s="953" t="s">
        <v>16</v>
      </c>
      <c r="L11" s="9"/>
      <c r="M11" s="9"/>
      <c r="N11" s="9"/>
      <c r="O11" s="953" t="s">
        <v>16</v>
      </c>
      <c r="P11" s="2"/>
      <c r="Q11" s="2"/>
      <c r="R11" s="2"/>
      <c r="S11" s="2"/>
      <c r="T11" s="2"/>
      <c r="U11" s="2"/>
      <c r="V11" s="2"/>
      <c r="W11" s="2"/>
      <c r="X11" s="2"/>
    </row>
    <row r="12" spans="1:24" ht="38.25" x14ac:dyDescent="0.2">
      <c r="A12" s="435" t="s">
        <v>320</v>
      </c>
      <c r="B12" s="9"/>
      <c r="C12" s="9"/>
      <c r="D12" s="9"/>
      <c r="E12" s="953" t="s">
        <v>16</v>
      </c>
      <c r="F12" s="9"/>
      <c r="G12" s="953" t="s">
        <v>16</v>
      </c>
      <c r="H12" s="9"/>
      <c r="I12" s="9"/>
      <c r="J12" s="9"/>
      <c r="K12" s="953" t="s">
        <v>16</v>
      </c>
      <c r="L12" s="9"/>
      <c r="M12" s="9"/>
      <c r="N12" s="9"/>
      <c r="O12" s="953" t="s">
        <v>16</v>
      </c>
      <c r="P12" s="2"/>
      <c r="Q12" s="2"/>
      <c r="R12" s="2"/>
      <c r="S12" s="2"/>
      <c r="T12" s="2"/>
      <c r="U12" s="2"/>
      <c r="V12" s="2"/>
      <c r="W12" s="2"/>
      <c r="X12" s="2"/>
    </row>
    <row r="13" spans="1:24" x14ac:dyDescent="0.2">
      <c r="A13" s="46" t="s">
        <v>293</v>
      </c>
      <c r="B13" s="953" t="s">
        <v>16</v>
      </c>
      <c r="C13" s="953">
        <v>1</v>
      </c>
      <c r="D13" s="953" t="e">
        <f>B13/C13*100</f>
        <v>#VALUE!</v>
      </c>
      <c r="E13" s="953" t="s">
        <v>16</v>
      </c>
      <c r="F13" s="953"/>
      <c r="G13" s="953" t="s">
        <v>16</v>
      </c>
      <c r="H13" s="9"/>
      <c r="I13" s="9"/>
      <c r="J13" s="9"/>
      <c r="K13" s="953" t="s">
        <v>16</v>
      </c>
      <c r="L13" s="9"/>
      <c r="M13" s="9"/>
      <c r="N13" s="9"/>
      <c r="O13" s="953" t="s">
        <v>16</v>
      </c>
      <c r="P13" s="2"/>
      <c r="Q13" s="2"/>
      <c r="R13" s="2"/>
      <c r="S13" s="2"/>
      <c r="T13" s="2"/>
      <c r="U13" s="2"/>
      <c r="V13" s="2"/>
      <c r="W13" s="2"/>
      <c r="X13" s="2"/>
    </row>
    <row r="14" spans="1:24" x14ac:dyDescent="0.2">
      <c r="A14" s="435" t="s">
        <v>294</v>
      </c>
      <c r="B14" s="953" t="s">
        <v>16</v>
      </c>
      <c r="C14" s="953">
        <v>1</v>
      </c>
      <c r="D14" s="953" t="e">
        <f>B14/C14*100</f>
        <v>#VALUE!</v>
      </c>
      <c r="E14" s="953" t="s">
        <v>16</v>
      </c>
      <c r="F14" s="953"/>
      <c r="G14" s="953" t="s">
        <v>16</v>
      </c>
      <c r="H14" s="9"/>
      <c r="I14" s="9"/>
      <c r="J14" s="9"/>
      <c r="K14" s="953" t="s">
        <v>16</v>
      </c>
      <c r="L14" s="9"/>
      <c r="M14" s="9"/>
      <c r="N14" s="9"/>
      <c r="O14" s="953" t="s">
        <v>16</v>
      </c>
      <c r="P14" s="2"/>
      <c r="Q14" s="2"/>
      <c r="R14" s="2"/>
      <c r="S14" s="2"/>
      <c r="T14" s="2"/>
      <c r="U14" s="2"/>
      <c r="V14" s="2"/>
      <c r="W14" s="2"/>
      <c r="X14" s="2"/>
    </row>
    <row r="15" spans="1:24" x14ac:dyDescent="0.2">
      <c r="A15" s="46" t="s">
        <v>295</v>
      </c>
      <c r="B15" s="953" t="s">
        <v>16</v>
      </c>
      <c r="C15" s="953">
        <v>1</v>
      </c>
      <c r="D15" s="953" t="e">
        <f>B15/C15*100</f>
        <v>#VALUE!</v>
      </c>
      <c r="E15" s="953" t="s">
        <v>16</v>
      </c>
      <c r="F15" s="953"/>
      <c r="G15" s="953" t="s">
        <v>16</v>
      </c>
      <c r="H15" s="9"/>
      <c r="I15" s="9"/>
      <c r="J15" s="9"/>
      <c r="K15" s="953" t="s">
        <v>16</v>
      </c>
      <c r="L15" s="9"/>
      <c r="M15" s="9"/>
      <c r="N15" s="9"/>
      <c r="O15" s="953" t="s">
        <v>16</v>
      </c>
      <c r="P15" s="2"/>
      <c r="Q15" s="2"/>
      <c r="R15" s="2"/>
      <c r="S15" s="2"/>
      <c r="T15" s="2"/>
      <c r="U15" s="2"/>
      <c r="V15" s="2"/>
      <c r="W15" s="2"/>
      <c r="X15" s="2"/>
    </row>
    <row r="16" spans="1:24" x14ac:dyDescent="0.2">
      <c r="A16" s="46" t="s">
        <v>290</v>
      </c>
      <c r="B16" s="953" t="s">
        <v>16</v>
      </c>
      <c r="C16" s="953">
        <v>1</v>
      </c>
      <c r="D16" s="953" t="e">
        <f>B16/C16*100</f>
        <v>#VALUE!</v>
      </c>
      <c r="E16" s="953" t="s">
        <v>16</v>
      </c>
      <c r="F16" s="953"/>
      <c r="G16" s="953" t="s">
        <v>16</v>
      </c>
      <c r="H16" s="9"/>
      <c r="I16" s="9"/>
      <c r="J16" s="9"/>
      <c r="K16" s="953" t="s">
        <v>16</v>
      </c>
      <c r="L16" s="9"/>
      <c r="M16" s="9"/>
      <c r="N16" s="9"/>
      <c r="O16" s="953" t="s">
        <v>16</v>
      </c>
      <c r="P16" s="2"/>
      <c r="Q16" s="2"/>
      <c r="R16" s="2"/>
      <c r="S16" s="2"/>
      <c r="T16" s="2"/>
      <c r="U16" s="2"/>
      <c r="V16" s="2"/>
      <c r="W16" s="2"/>
      <c r="X16" s="2"/>
    </row>
    <row r="17" spans="1:24" x14ac:dyDescent="0.2">
      <c r="A17" s="435" t="s">
        <v>296</v>
      </c>
      <c r="B17" s="953" t="s">
        <v>16</v>
      </c>
      <c r="C17" s="953">
        <v>1</v>
      </c>
      <c r="D17" s="953" t="e">
        <f>B17/C17*100</f>
        <v>#VALUE!</v>
      </c>
      <c r="E17" s="953" t="s">
        <v>16</v>
      </c>
      <c r="F17" s="953"/>
      <c r="G17" s="953" t="s">
        <v>16</v>
      </c>
      <c r="H17" s="9"/>
      <c r="I17" s="9"/>
      <c r="J17" s="9"/>
      <c r="K17" s="953" t="s">
        <v>16</v>
      </c>
      <c r="L17" s="9"/>
      <c r="M17" s="9"/>
      <c r="N17" s="9"/>
      <c r="O17" s="953" t="s">
        <v>16</v>
      </c>
      <c r="P17" s="2"/>
      <c r="Q17" s="2"/>
      <c r="R17" s="2"/>
      <c r="S17" s="2"/>
      <c r="T17" s="2"/>
      <c r="U17" s="2"/>
      <c r="V17" s="2"/>
      <c r="W17" s="2"/>
      <c r="X17" s="2"/>
    </row>
    <row r="18" spans="1:24" ht="38.25" x14ac:dyDescent="0.2">
      <c r="A18" s="435" t="s">
        <v>282</v>
      </c>
      <c r="B18" s="953"/>
      <c r="C18" s="953"/>
      <c r="D18" s="953"/>
      <c r="E18" s="953" t="s">
        <v>16</v>
      </c>
      <c r="F18" s="953"/>
      <c r="G18" s="953" t="s">
        <v>16</v>
      </c>
      <c r="H18" s="9"/>
      <c r="I18" s="9"/>
      <c r="J18" s="9"/>
      <c r="K18" s="953" t="s">
        <v>16</v>
      </c>
      <c r="L18" s="9"/>
      <c r="M18" s="9"/>
      <c r="N18" s="9"/>
      <c r="O18" s="953" t="s">
        <v>16</v>
      </c>
      <c r="P18" s="2"/>
      <c r="Q18" s="2"/>
      <c r="R18" s="2"/>
      <c r="S18" s="2"/>
      <c r="T18" s="2"/>
      <c r="U18" s="2"/>
      <c r="V18" s="2"/>
      <c r="W18" s="2"/>
      <c r="X18" s="2"/>
    </row>
    <row r="19" spans="1:24" x14ac:dyDescent="0.2">
      <c r="A19" s="46" t="s">
        <v>297</v>
      </c>
      <c r="B19" s="953"/>
      <c r="C19" s="953"/>
      <c r="D19" s="953"/>
      <c r="E19" s="953" t="s">
        <v>16</v>
      </c>
      <c r="F19" s="953"/>
      <c r="G19" s="953" t="s">
        <v>16</v>
      </c>
      <c r="H19" s="9"/>
      <c r="I19" s="9"/>
      <c r="J19" s="9"/>
      <c r="K19" s="953" t="s">
        <v>16</v>
      </c>
      <c r="L19" s="9"/>
      <c r="M19" s="9"/>
      <c r="N19" s="9"/>
      <c r="O19" s="953" t="s">
        <v>16</v>
      </c>
      <c r="P19" s="2"/>
      <c r="Q19" s="2"/>
      <c r="R19" s="2"/>
      <c r="S19" s="2"/>
      <c r="T19" s="2"/>
      <c r="U19" s="2"/>
      <c r="V19" s="2"/>
      <c r="W19" s="2"/>
      <c r="X19" s="2"/>
    </row>
    <row r="20" spans="1:24" x14ac:dyDescent="0.2">
      <c r="A20" s="435" t="s">
        <v>283</v>
      </c>
      <c r="B20" s="953" t="s">
        <v>16</v>
      </c>
      <c r="C20" s="953">
        <v>1</v>
      </c>
      <c r="D20" s="953" t="e">
        <f>B20/C20*100</f>
        <v>#VALUE!</v>
      </c>
      <c r="E20" s="953" t="s">
        <v>16</v>
      </c>
      <c r="F20" s="953"/>
      <c r="G20" s="953" t="s">
        <v>16</v>
      </c>
      <c r="H20" s="9"/>
      <c r="I20" s="9"/>
      <c r="J20" s="9"/>
      <c r="K20" s="953" t="s">
        <v>16</v>
      </c>
      <c r="L20" s="9"/>
      <c r="M20" s="9"/>
      <c r="N20" s="9"/>
      <c r="O20" s="953" t="s">
        <v>16</v>
      </c>
      <c r="P20" s="2"/>
      <c r="Q20" s="2"/>
      <c r="R20" s="2"/>
      <c r="S20" s="2"/>
      <c r="T20" s="2"/>
      <c r="U20" s="2"/>
      <c r="V20" s="2"/>
      <c r="W20" s="2"/>
      <c r="X20" s="2"/>
    </row>
    <row r="21" spans="1:24" x14ac:dyDescent="0.2">
      <c r="A21" s="435" t="s">
        <v>319</v>
      </c>
      <c r="B21" s="953">
        <v>22</v>
      </c>
      <c r="C21" s="953">
        <v>22</v>
      </c>
      <c r="D21" s="953">
        <f>B21/C21*100</f>
        <v>100</v>
      </c>
      <c r="E21" s="953">
        <v>1</v>
      </c>
      <c r="F21" s="953">
        <f>(0+3)/3*100</f>
        <v>100</v>
      </c>
      <c r="G21" s="953">
        <v>1</v>
      </c>
      <c r="H21" s="953">
        <v>82655.8</v>
      </c>
      <c r="I21" s="953">
        <v>4801.54</v>
      </c>
      <c r="J21" s="965">
        <f>(H21-I21)/I21*100</f>
        <v>1621.443536865256</v>
      </c>
      <c r="K21" s="953">
        <v>1</v>
      </c>
      <c r="L21" s="953">
        <v>3882.17</v>
      </c>
      <c r="M21" s="953">
        <v>77975.710000000006</v>
      </c>
      <c r="N21" s="1010">
        <f>L21/M21*100</f>
        <v>4.9786914412193228</v>
      </c>
      <c r="O21" s="1010">
        <f>1-(N21/100)</f>
        <v>0.95021308558780682</v>
      </c>
      <c r="P21" s="2"/>
      <c r="Q21" s="2"/>
      <c r="R21" s="2"/>
      <c r="S21" s="2"/>
      <c r="T21" s="2"/>
      <c r="U21" s="2"/>
      <c r="V21" s="2"/>
      <c r="W21" s="2"/>
      <c r="X21" s="2"/>
    </row>
    <row r="22" spans="1:24" ht="25.5" x14ac:dyDescent="0.2">
      <c r="A22" s="435" t="s">
        <v>281</v>
      </c>
      <c r="B22" s="953" t="s">
        <v>16</v>
      </c>
      <c r="C22" s="953">
        <v>1</v>
      </c>
      <c r="D22" s="953" t="e">
        <f>B22/C22*100</f>
        <v>#VALUE!</v>
      </c>
      <c r="E22" s="953" t="s">
        <v>16</v>
      </c>
      <c r="F22" s="9"/>
      <c r="G22" s="953" t="s">
        <v>16</v>
      </c>
      <c r="H22" s="9"/>
      <c r="I22" s="9"/>
      <c r="J22" s="9"/>
      <c r="K22" s="953" t="s">
        <v>16</v>
      </c>
      <c r="L22" s="9"/>
      <c r="M22" s="9"/>
      <c r="N22" s="9"/>
      <c r="O22" s="953" t="s">
        <v>16</v>
      </c>
      <c r="P22" s="2"/>
      <c r="Q22" s="2"/>
      <c r="R22" s="2"/>
      <c r="S22" s="2"/>
      <c r="T22" s="2"/>
      <c r="U22" s="2"/>
      <c r="V22" s="2"/>
      <c r="W22" s="2"/>
      <c r="X22" s="2"/>
    </row>
    <row r="23" spans="1:24" ht="38.25" x14ac:dyDescent="0.2">
      <c r="A23" s="435" t="s">
        <v>299</v>
      </c>
      <c r="B23" s="953" t="s">
        <v>16</v>
      </c>
      <c r="C23" s="953">
        <v>1</v>
      </c>
      <c r="D23" s="953" t="e">
        <f>B23/C23*100</f>
        <v>#VALUE!</v>
      </c>
      <c r="E23" s="953" t="s">
        <v>16</v>
      </c>
      <c r="F23" s="953">
        <f>(0+1)/1*100</f>
        <v>100</v>
      </c>
      <c r="G23" s="953">
        <v>1</v>
      </c>
      <c r="H23" s="953">
        <v>3841.8</v>
      </c>
      <c r="I23" s="953">
        <v>3247.6</v>
      </c>
      <c r="J23" s="965">
        <f>(H23-I23)/I23*100</f>
        <v>18.296588249784467</v>
      </c>
      <c r="K23" s="953">
        <v>0.7</v>
      </c>
      <c r="L23" s="953">
        <v>876.6</v>
      </c>
      <c r="M23" s="953">
        <v>48589.8</v>
      </c>
      <c r="N23" s="1010">
        <f>L23/M23*100</f>
        <v>1.8040823382685256</v>
      </c>
      <c r="O23" s="1010">
        <f>1-(N23/100)</f>
        <v>0.9819591766173148</v>
      </c>
      <c r="P23" s="2"/>
      <c r="Q23" s="2"/>
      <c r="R23" s="2"/>
      <c r="S23" s="2"/>
      <c r="T23" s="2"/>
      <c r="U23" s="2"/>
      <c r="V23" s="2"/>
      <c r="W23" s="2"/>
      <c r="X23" s="2"/>
    </row>
    <row r="24" spans="1:24" ht="51" x14ac:dyDescent="0.2">
      <c r="A24" s="435" t="s">
        <v>269</v>
      </c>
      <c r="B24" s="953">
        <v>5</v>
      </c>
      <c r="C24" s="953">
        <v>5</v>
      </c>
      <c r="D24" s="953">
        <f>B24/C24*100</f>
        <v>100</v>
      </c>
      <c r="E24" s="953">
        <v>1</v>
      </c>
      <c r="F24" s="9"/>
      <c r="G24" s="953" t="s">
        <v>16</v>
      </c>
      <c r="H24" s="9"/>
      <c r="I24" s="9"/>
      <c r="J24" s="9"/>
      <c r="K24" s="953" t="s">
        <v>16</v>
      </c>
      <c r="L24" s="9"/>
      <c r="M24" s="9"/>
      <c r="N24" s="9"/>
      <c r="O24" s="953" t="s">
        <v>16</v>
      </c>
      <c r="P24" s="2"/>
      <c r="Q24" s="2"/>
      <c r="R24" s="2"/>
      <c r="S24" s="2"/>
      <c r="T24" s="2"/>
      <c r="U24" s="2"/>
      <c r="V24" s="2"/>
      <c r="W24" s="2"/>
      <c r="X24" s="2"/>
    </row>
    <row r="25" spans="1:24" ht="25.5" x14ac:dyDescent="0.2">
      <c r="A25" s="435" t="s">
        <v>286</v>
      </c>
      <c r="B25" s="9"/>
      <c r="C25" s="9"/>
      <c r="D25" s="9"/>
      <c r="E25" s="953" t="s">
        <v>16</v>
      </c>
      <c r="F25" s="9"/>
      <c r="G25" s="953" t="s">
        <v>16</v>
      </c>
      <c r="H25" s="9"/>
      <c r="I25" s="9"/>
      <c r="J25" s="9"/>
      <c r="K25" s="953" t="s">
        <v>16</v>
      </c>
      <c r="L25" s="9"/>
      <c r="M25" s="9"/>
      <c r="N25" s="9"/>
      <c r="O25" s="953" t="s">
        <v>16</v>
      </c>
      <c r="P25" s="2"/>
      <c r="Q25" s="2"/>
      <c r="R25" s="2"/>
      <c r="S25" s="2"/>
      <c r="T25" s="2"/>
      <c r="U25" s="2"/>
      <c r="V25" s="2"/>
      <c r="W25" s="2"/>
      <c r="X25" s="2"/>
    </row>
    <row r="26" spans="1:24" ht="25.5" x14ac:dyDescent="0.2">
      <c r="A26" s="435" t="s">
        <v>300</v>
      </c>
      <c r="B26" s="9"/>
      <c r="C26" s="9"/>
      <c r="D26" s="9"/>
      <c r="E26" s="953" t="s">
        <v>16</v>
      </c>
      <c r="F26" s="9"/>
      <c r="G26" s="953" t="s">
        <v>16</v>
      </c>
      <c r="H26" s="9"/>
      <c r="I26" s="9"/>
      <c r="J26" s="9"/>
      <c r="K26" s="953" t="s">
        <v>16</v>
      </c>
      <c r="L26" s="9"/>
      <c r="M26" s="9"/>
      <c r="N26" s="9"/>
      <c r="O26" s="953" t="s">
        <v>16</v>
      </c>
      <c r="P26" s="2"/>
      <c r="Q26" s="2"/>
      <c r="R26" s="2"/>
      <c r="S26" s="2"/>
      <c r="T26" s="2"/>
      <c r="U26" s="2"/>
      <c r="V26" s="2"/>
      <c r="W26" s="2"/>
      <c r="X26" s="2"/>
    </row>
    <row r="27" spans="1:24" ht="38.25" x14ac:dyDescent="0.2">
      <c r="A27" s="435" t="s">
        <v>270</v>
      </c>
      <c r="B27" s="953" t="s">
        <v>16</v>
      </c>
      <c r="C27" s="953">
        <v>1</v>
      </c>
      <c r="D27" s="953" t="e">
        <f>B27/C27*100</f>
        <v>#VALUE!</v>
      </c>
      <c r="E27" s="953" t="s">
        <v>16</v>
      </c>
      <c r="F27" s="9"/>
      <c r="G27" s="953" t="s">
        <v>16</v>
      </c>
      <c r="H27" s="9"/>
      <c r="I27" s="9"/>
      <c r="J27" s="9"/>
      <c r="K27" s="953" t="s">
        <v>16</v>
      </c>
      <c r="L27" s="9"/>
      <c r="M27" s="9"/>
      <c r="N27" s="9"/>
      <c r="O27" s="953" t="s">
        <v>16</v>
      </c>
      <c r="P27" s="2"/>
      <c r="Q27" s="2"/>
      <c r="R27" s="2"/>
      <c r="S27" s="2"/>
      <c r="T27" s="2"/>
      <c r="U27" s="2"/>
      <c r="V27" s="2"/>
      <c r="W27" s="2"/>
      <c r="X27" s="2"/>
    </row>
    <row r="28" spans="1:24" ht="38.25" x14ac:dyDescent="0.2">
      <c r="A28" s="435" t="s">
        <v>274</v>
      </c>
      <c r="B28" s="953" t="s">
        <v>16</v>
      </c>
      <c r="C28" s="953">
        <v>1</v>
      </c>
      <c r="D28" s="953" t="e">
        <f>B28/C28*100</f>
        <v>#VALUE!</v>
      </c>
      <c r="E28" s="953" t="s">
        <v>16</v>
      </c>
      <c r="F28" s="9"/>
      <c r="G28" s="953" t="s">
        <v>16</v>
      </c>
      <c r="H28" s="9"/>
      <c r="I28" s="9"/>
      <c r="J28" s="9"/>
      <c r="K28" s="953" t="s">
        <v>16</v>
      </c>
      <c r="L28" s="9"/>
      <c r="M28" s="9"/>
      <c r="N28" s="9"/>
      <c r="O28" s="953" t="s">
        <v>16</v>
      </c>
      <c r="P28" s="2"/>
      <c r="Q28" s="2"/>
      <c r="R28" s="2"/>
      <c r="S28" s="2"/>
      <c r="T28" s="2"/>
      <c r="U28" s="2"/>
      <c r="V28" s="2"/>
      <c r="W28" s="2"/>
      <c r="X28" s="2"/>
    </row>
    <row r="29" spans="1:24" ht="25.5" x14ac:dyDescent="0.2">
      <c r="A29" s="435" t="s">
        <v>301</v>
      </c>
      <c r="B29" s="953" t="s">
        <v>16</v>
      </c>
      <c r="C29" s="953">
        <v>1</v>
      </c>
      <c r="D29" s="953" t="e">
        <f>B29/C29*100</f>
        <v>#VALUE!</v>
      </c>
      <c r="E29" s="953" t="s">
        <v>16</v>
      </c>
      <c r="F29" s="9"/>
      <c r="G29" s="953" t="s">
        <v>16</v>
      </c>
      <c r="H29" s="9"/>
      <c r="I29" s="9"/>
      <c r="J29" s="9"/>
      <c r="K29" s="953" t="s">
        <v>16</v>
      </c>
      <c r="L29" s="9"/>
      <c r="M29" s="9"/>
      <c r="N29" s="9"/>
      <c r="O29" s="953" t="s">
        <v>16</v>
      </c>
      <c r="P29" s="2"/>
      <c r="Q29" s="2"/>
      <c r="R29" s="2"/>
      <c r="S29" s="2"/>
      <c r="T29" s="2"/>
      <c r="U29" s="2"/>
      <c r="V29" s="2"/>
      <c r="W29" s="2"/>
      <c r="X29" s="2"/>
    </row>
    <row r="30" spans="1:24" ht="16.5" customHeight="1" x14ac:dyDescent="0.2">
      <c r="A30" s="435" t="s">
        <v>275</v>
      </c>
      <c r="B30" s="953" t="s">
        <v>16</v>
      </c>
      <c r="C30" s="953">
        <v>1</v>
      </c>
      <c r="D30" s="953" t="e">
        <f>B30/C30*100</f>
        <v>#VALUE!</v>
      </c>
      <c r="E30" s="953" t="s">
        <v>16</v>
      </c>
      <c r="F30" s="9"/>
      <c r="G30" s="953" t="s">
        <v>16</v>
      </c>
      <c r="H30" s="9"/>
      <c r="I30" s="9"/>
      <c r="J30" s="9"/>
      <c r="K30" s="953" t="s">
        <v>16</v>
      </c>
      <c r="L30" s="9"/>
      <c r="M30" s="9"/>
      <c r="N30" s="9"/>
      <c r="O30" s="953" t="s">
        <v>16</v>
      </c>
      <c r="P30" s="2"/>
      <c r="Q30" s="2"/>
      <c r="R30" s="2"/>
      <c r="S30" s="2"/>
      <c r="T30" s="2"/>
      <c r="U30" s="2"/>
      <c r="V30" s="2"/>
      <c r="W30" s="2"/>
      <c r="X30" s="2"/>
    </row>
    <row r="31" spans="1:24" ht="63.75" x14ac:dyDescent="0.2">
      <c r="A31" s="435" t="s">
        <v>276</v>
      </c>
      <c r="B31" s="9"/>
      <c r="C31" s="9"/>
      <c r="D31" s="9"/>
      <c r="E31" s="953" t="s">
        <v>16</v>
      </c>
      <c r="F31" s="9"/>
      <c r="G31" s="953" t="s">
        <v>16</v>
      </c>
      <c r="H31" s="9"/>
      <c r="I31" s="9"/>
      <c r="J31" s="9"/>
      <c r="K31" s="953" t="s">
        <v>16</v>
      </c>
      <c r="L31" s="9"/>
      <c r="M31" s="9"/>
      <c r="N31" s="9"/>
      <c r="O31" s="953" t="s">
        <v>16</v>
      </c>
      <c r="P31" s="2"/>
      <c r="Q31" s="2"/>
      <c r="R31" s="2"/>
      <c r="S31" s="2"/>
      <c r="T31" s="2"/>
      <c r="U31" s="2"/>
      <c r="V31" s="2"/>
      <c r="W31" s="2"/>
      <c r="X31" s="2"/>
    </row>
    <row r="32" spans="1:24" ht="63.75" x14ac:dyDescent="0.2">
      <c r="A32" s="435" t="s">
        <v>277</v>
      </c>
      <c r="B32" s="9"/>
      <c r="C32" s="9"/>
      <c r="D32" s="9"/>
      <c r="E32" s="953" t="s">
        <v>16</v>
      </c>
      <c r="F32" s="9"/>
      <c r="G32" s="953" t="s">
        <v>16</v>
      </c>
      <c r="H32" s="9"/>
      <c r="I32" s="9"/>
      <c r="J32" s="9"/>
      <c r="K32" s="953" t="s">
        <v>16</v>
      </c>
      <c r="L32" s="9"/>
      <c r="M32" s="9"/>
      <c r="N32" s="9"/>
      <c r="O32" s="953" t="s">
        <v>16</v>
      </c>
      <c r="P32" s="2"/>
      <c r="Q32" s="2"/>
      <c r="R32" s="2"/>
      <c r="S32" s="2"/>
      <c r="T32" s="2"/>
      <c r="U32" s="2"/>
      <c r="V32" s="2"/>
      <c r="W32" s="2"/>
      <c r="X32" s="2"/>
    </row>
    <row r="33" spans="1:24" ht="51" x14ac:dyDescent="0.2">
      <c r="A33" s="435" t="s">
        <v>278</v>
      </c>
      <c r="B33" s="9"/>
      <c r="C33" s="9"/>
      <c r="D33" s="9"/>
      <c r="E33" s="953" t="s">
        <v>16</v>
      </c>
      <c r="F33" s="9"/>
      <c r="G33" s="953" t="s">
        <v>16</v>
      </c>
      <c r="H33" s="9"/>
      <c r="I33" s="9"/>
      <c r="J33" s="9"/>
      <c r="K33" s="953" t="s">
        <v>16</v>
      </c>
      <c r="L33" s="9"/>
      <c r="M33" s="9"/>
      <c r="N33" s="9"/>
      <c r="O33" s="953" t="s">
        <v>16</v>
      </c>
      <c r="P33" s="2"/>
      <c r="Q33" s="2"/>
      <c r="R33" s="2"/>
      <c r="S33" s="2"/>
      <c r="T33" s="2"/>
      <c r="U33" s="2"/>
      <c r="V33" s="2"/>
      <c r="W33" s="2"/>
      <c r="X33" s="2"/>
    </row>
    <row r="34" spans="1:24" ht="63.75" x14ac:dyDescent="0.2">
      <c r="A34" s="435" t="s">
        <v>279</v>
      </c>
      <c r="B34" s="9"/>
      <c r="C34" s="9"/>
      <c r="D34" s="9"/>
      <c r="E34" s="953" t="s">
        <v>16</v>
      </c>
      <c r="F34" s="9"/>
      <c r="G34" s="953" t="s">
        <v>16</v>
      </c>
      <c r="H34" s="9"/>
      <c r="I34" s="9"/>
      <c r="J34" s="9"/>
      <c r="K34" s="953" t="s">
        <v>16</v>
      </c>
      <c r="L34" s="9"/>
      <c r="M34" s="9"/>
      <c r="N34" s="9"/>
      <c r="O34" s="953" t="s">
        <v>16</v>
      </c>
      <c r="P34" s="2"/>
      <c r="Q34" s="2"/>
      <c r="R34" s="2"/>
      <c r="S34" s="2"/>
      <c r="T34" s="2"/>
      <c r="U34" s="2"/>
      <c r="V34" s="2"/>
      <c r="W34" s="2"/>
      <c r="X34" s="2"/>
    </row>
    <row r="35" spans="1:24" ht="63.75" x14ac:dyDescent="0.2">
      <c r="A35" s="435" t="s">
        <v>280</v>
      </c>
      <c r="B35" s="9"/>
      <c r="C35" s="9"/>
      <c r="D35" s="9"/>
      <c r="E35" s="953" t="s">
        <v>16</v>
      </c>
      <c r="F35" s="9"/>
      <c r="G35" s="953" t="s">
        <v>16</v>
      </c>
      <c r="H35" s="9"/>
      <c r="I35" s="9"/>
      <c r="J35" s="9"/>
      <c r="K35" s="953" t="s">
        <v>16</v>
      </c>
      <c r="L35" s="9"/>
      <c r="M35" s="9"/>
      <c r="N35" s="9"/>
      <c r="O35" s="953" t="s">
        <v>16</v>
      </c>
      <c r="P35" s="2"/>
      <c r="Q35" s="2"/>
      <c r="R35" s="2"/>
      <c r="S35" s="2"/>
      <c r="T35" s="2"/>
      <c r="U35" s="2"/>
      <c r="V35" s="2"/>
      <c r="W35" s="2"/>
      <c r="X35" s="2"/>
    </row>
    <row r="36" spans="1:24" ht="51" x14ac:dyDescent="0.2">
      <c r="A36" s="435" t="s">
        <v>272</v>
      </c>
      <c r="B36" s="9"/>
      <c r="C36" s="9"/>
      <c r="D36" s="9"/>
      <c r="E36" s="953" t="s">
        <v>16</v>
      </c>
      <c r="F36" s="9"/>
      <c r="G36" s="953" t="s">
        <v>16</v>
      </c>
      <c r="H36" s="9"/>
      <c r="I36" s="9"/>
      <c r="J36" s="9"/>
      <c r="K36" s="953" t="s">
        <v>16</v>
      </c>
      <c r="L36" s="9"/>
      <c r="M36" s="9"/>
      <c r="N36" s="9"/>
      <c r="O36" s="953" t="s">
        <v>16</v>
      </c>
      <c r="P36" s="2"/>
      <c r="Q36" s="2"/>
      <c r="R36" s="2"/>
      <c r="S36" s="2"/>
      <c r="T36" s="2"/>
      <c r="U36" s="2"/>
      <c r="V36" s="2"/>
      <c r="W36" s="2"/>
      <c r="X36" s="2"/>
    </row>
    <row r="37" spans="1:24" ht="51" x14ac:dyDescent="0.2">
      <c r="A37" s="435" t="s">
        <v>273</v>
      </c>
      <c r="B37" s="9"/>
      <c r="C37" s="9"/>
      <c r="D37" s="9"/>
      <c r="E37" s="953" t="s">
        <v>16</v>
      </c>
      <c r="F37" s="9"/>
      <c r="G37" s="953" t="s">
        <v>16</v>
      </c>
      <c r="H37" s="9"/>
      <c r="I37" s="9"/>
      <c r="J37" s="9"/>
      <c r="K37" s="953" t="s">
        <v>16</v>
      </c>
      <c r="L37" s="9"/>
      <c r="M37" s="9"/>
      <c r="N37" s="9"/>
      <c r="O37" s="953" t="s">
        <v>16</v>
      </c>
      <c r="P37" s="2"/>
      <c r="Q37" s="2"/>
      <c r="R37" s="2"/>
      <c r="S37" s="2"/>
      <c r="T37" s="2"/>
      <c r="U37" s="2"/>
      <c r="V37" s="2"/>
      <c r="W37" s="2"/>
      <c r="X37" s="2"/>
    </row>
    <row r="38" spans="1:24" x14ac:dyDescent="0.2">
      <c r="B38" s="2"/>
      <c r="C38" s="2"/>
      <c r="D38" s="2"/>
      <c r="E38" s="2"/>
      <c r="F38" s="2"/>
      <c r="G38" s="2"/>
      <c r="H38" s="2"/>
      <c r="I38" s="2"/>
      <c r="J38" s="2"/>
      <c r="K38" s="2"/>
      <c r="L38" s="2"/>
      <c r="M38" s="2"/>
      <c r="N38" s="2"/>
      <c r="O38" s="2"/>
      <c r="P38" s="2"/>
      <c r="Q38" s="2"/>
      <c r="R38" s="2"/>
      <c r="S38" s="2"/>
      <c r="T38" s="2"/>
      <c r="U38" s="2"/>
      <c r="V38" s="2"/>
      <c r="W38" s="2"/>
      <c r="X38" s="2"/>
    </row>
    <row r="39" spans="1:24" ht="25.5" customHeight="1" x14ac:dyDescent="0.2">
      <c r="A39" s="673" t="s">
        <v>491</v>
      </c>
      <c r="B39" s="673"/>
      <c r="C39" s="673"/>
      <c r="D39" s="673"/>
      <c r="E39" s="673"/>
    </row>
  </sheetData>
  <mergeCells count="9">
    <mergeCell ref="L5:O5"/>
    <mergeCell ref="B3:J3"/>
    <mergeCell ref="H5:K5"/>
    <mergeCell ref="A39:E39"/>
    <mergeCell ref="F5:G5"/>
    <mergeCell ref="A5:A6"/>
    <mergeCell ref="B5:B6"/>
    <mergeCell ref="D5:E5"/>
    <mergeCell ref="C5:C6"/>
  </mergeCells>
  <pageMargins left="0.70866141732283472" right="0.70866141732283472" top="0.74803149606299213" bottom="0.74803149606299213"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G41"/>
  <sheetViews>
    <sheetView zoomScale="70" zoomScaleNormal="70" workbookViewId="0">
      <selection activeCell="G20" sqref="G20"/>
    </sheetView>
  </sheetViews>
  <sheetFormatPr defaultRowHeight="12.75" x14ac:dyDescent="0.2"/>
  <cols>
    <col min="2" max="2" width="28.28515625" customWidth="1"/>
    <col min="3" max="3" width="15.28515625" customWidth="1"/>
    <col min="4" max="4" width="14.85546875" customWidth="1"/>
    <col min="5" max="5" width="17.28515625" customWidth="1"/>
    <col min="6" max="6" width="13.42578125" customWidth="1"/>
    <col min="7" max="7" width="15.7109375" customWidth="1"/>
    <col min="8" max="8" width="15.28515625" customWidth="1"/>
    <col min="9" max="9" width="18.140625" customWidth="1"/>
    <col min="10" max="10" width="14.85546875" customWidth="1"/>
    <col min="11" max="11" width="17.85546875" customWidth="1"/>
    <col min="12" max="12" width="21.7109375" customWidth="1"/>
    <col min="13" max="13" width="20.28515625" customWidth="1"/>
    <col min="14" max="14" width="12" customWidth="1"/>
    <col min="15" max="15" width="17.140625" customWidth="1"/>
    <col min="16" max="16" width="14.85546875" customWidth="1"/>
    <col min="17" max="17" width="19.140625" customWidth="1"/>
    <col min="18" max="18" width="14.7109375" customWidth="1"/>
    <col min="19" max="19" width="18.140625" customWidth="1"/>
    <col min="20" max="20" width="16.7109375" customWidth="1"/>
    <col min="21" max="21" width="20" customWidth="1"/>
    <col min="22" max="22" width="14.28515625" customWidth="1"/>
    <col min="23" max="23" width="18.28515625" customWidth="1"/>
    <col min="24" max="24" width="16.85546875" customWidth="1"/>
    <col min="25" max="25" width="19.28515625" customWidth="1"/>
    <col min="26" max="26" width="14" customWidth="1"/>
    <col min="27" max="27" width="18" customWidth="1"/>
    <col min="28" max="28" width="12.5703125" customWidth="1"/>
    <col min="29" max="29" width="17.140625" customWidth="1"/>
    <col min="30" max="31" width="15.28515625" customWidth="1"/>
    <col min="32" max="32" width="11.85546875" customWidth="1"/>
  </cols>
  <sheetData>
    <row r="3" spans="1:33" x14ac:dyDescent="0.2">
      <c r="A3" s="466" t="s">
        <v>590</v>
      </c>
    </row>
    <row r="5" spans="1:33" ht="15" x14ac:dyDescent="0.2">
      <c r="A5" s="944" t="s">
        <v>158</v>
      </c>
      <c r="B5" s="944" t="s">
        <v>535</v>
      </c>
      <c r="C5" s="947" t="s">
        <v>10</v>
      </c>
      <c r="D5" s="947"/>
      <c r="E5" s="947"/>
      <c r="F5" s="947"/>
      <c r="G5" s="948"/>
      <c r="H5" s="948"/>
      <c r="I5" s="948"/>
      <c r="J5" s="948"/>
      <c r="K5" s="948"/>
      <c r="L5" s="948"/>
      <c r="M5" s="948"/>
      <c r="N5" s="948"/>
      <c r="O5" s="948"/>
      <c r="P5" s="948"/>
      <c r="Q5" s="948"/>
      <c r="R5" s="948"/>
      <c r="S5" s="948"/>
      <c r="T5" s="948"/>
      <c r="U5" s="948"/>
      <c r="V5" s="948"/>
      <c r="W5" s="948"/>
      <c r="X5" s="948"/>
      <c r="Y5" s="948"/>
      <c r="Z5" s="948"/>
      <c r="AA5" s="948"/>
      <c r="AB5" s="948"/>
      <c r="AC5" s="948"/>
      <c r="AD5" s="948"/>
      <c r="AE5" s="938"/>
      <c r="AF5" s="938"/>
    </row>
    <row r="6" spans="1:33" ht="75.75" customHeight="1" thickBot="1" x14ac:dyDescent="0.25">
      <c r="A6" s="945"/>
      <c r="B6" s="945"/>
      <c r="C6" s="942" t="s">
        <v>94</v>
      </c>
      <c r="D6" s="943"/>
      <c r="E6" s="943"/>
      <c r="F6" s="939"/>
      <c r="G6" s="942" t="s">
        <v>96</v>
      </c>
      <c r="H6" s="943"/>
      <c r="I6" s="943"/>
      <c r="J6" s="939"/>
      <c r="K6" s="942" t="s">
        <v>98</v>
      </c>
      <c r="L6" s="943"/>
      <c r="M6" s="943"/>
      <c r="N6" s="939"/>
      <c r="O6" s="942" t="s">
        <v>100</v>
      </c>
      <c r="P6" s="943"/>
      <c r="Q6" s="943"/>
      <c r="R6" s="939"/>
      <c r="S6" s="942" t="s">
        <v>536</v>
      </c>
      <c r="T6" s="943"/>
      <c r="U6" s="943"/>
      <c r="V6" s="939"/>
      <c r="W6" s="942" t="s">
        <v>104</v>
      </c>
      <c r="X6" s="943"/>
      <c r="Y6" s="943"/>
      <c r="Z6" s="939"/>
      <c r="AA6" s="942" t="s">
        <v>537</v>
      </c>
      <c r="AB6" s="943"/>
      <c r="AC6" s="949"/>
      <c r="AD6" s="942" t="s">
        <v>538</v>
      </c>
      <c r="AE6" s="943"/>
      <c r="AF6" s="937"/>
    </row>
    <row r="7" spans="1:33" ht="389.25" customHeight="1" x14ac:dyDescent="0.2">
      <c r="A7" s="946"/>
      <c r="B7" s="946"/>
      <c r="C7" s="446" t="s">
        <v>539</v>
      </c>
      <c r="D7" s="446" t="s">
        <v>540</v>
      </c>
      <c r="E7" s="447" t="s">
        <v>541</v>
      </c>
      <c r="F7" s="459" t="s">
        <v>542</v>
      </c>
      <c r="G7" s="455" t="s">
        <v>543</v>
      </c>
      <c r="H7" s="446" t="s">
        <v>544</v>
      </c>
      <c r="I7" s="453" t="s">
        <v>545</v>
      </c>
      <c r="J7" s="459" t="s">
        <v>546</v>
      </c>
      <c r="K7" s="455" t="s">
        <v>547</v>
      </c>
      <c r="L7" s="446" t="s">
        <v>548</v>
      </c>
      <c r="M7" s="447" t="s">
        <v>549</v>
      </c>
      <c r="N7" s="459" t="s">
        <v>546</v>
      </c>
      <c r="O7" s="455" t="s">
        <v>550</v>
      </c>
      <c r="P7" s="446" t="s">
        <v>551</v>
      </c>
      <c r="Q7" s="453" t="s">
        <v>552</v>
      </c>
      <c r="R7" s="459" t="s">
        <v>546</v>
      </c>
      <c r="S7" s="455" t="s">
        <v>553</v>
      </c>
      <c r="T7" s="446" t="s">
        <v>554</v>
      </c>
      <c r="U7" s="453" t="s">
        <v>555</v>
      </c>
      <c r="V7" s="459" t="s">
        <v>546</v>
      </c>
      <c r="W7" s="455" t="s">
        <v>556</v>
      </c>
      <c r="X7" s="446" t="s">
        <v>557</v>
      </c>
      <c r="Y7" s="453" t="s">
        <v>558</v>
      </c>
      <c r="Z7" s="459" t="s">
        <v>546</v>
      </c>
      <c r="AA7" s="455" t="s">
        <v>559</v>
      </c>
      <c r="AB7" s="453" t="s">
        <v>560</v>
      </c>
      <c r="AC7" s="459" t="s">
        <v>561</v>
      </c>
      <c r="AD7" s="455" t="s">
        <v>562</v>
      </c>
      <c r="AE7" s="446" t="s">
        <v>563</v>
      </c>
      <c r="AF7" s="446" t="s">
        <v>546</v>
      </c>
    </row>
    <row r="8" spans="1:33" ht="15" x14ac:dyDescent="0.25">
      <c r="A8" s="449"/>
      <c r="B8" s="449"/>
      <c r="C8" s="446" t="s">
        <v>564</v>
      </c>
      <c r="D8" s="446" t="s">
        <v>564</v>
      </c>
      <c r="E8" s="453" t="s">
        <v>5</v>
      </c>
      <c r="F8" s="460"/>
      <c r="G8" s="456" t="s">
        <v>565</v>
      </c>
      <c r="H8" s="448" t="s">
        <v>565</v>
      </c>
      <c r="I8" s="453" t="s">
        <v>5</v>
      </c>
      <c r="J8" s="461"/>
      <c r="K8" s="458"/>
      <c r="L8" s="450"/>
      <c r="M8" s="454"/>
      <c r="N8" s="462"/>
      <c r="O8" s="458"/>
      <c r="P8" s="450"/>
      <c r="Q8" s="454"/>
      <c r="R8" s="462"/>
      <c r="S8" s="458"/>
      <c r="T8" s="450"/>
      <c r="U8" s="454"/>
      <c r="V8" s="462"/>
      <c r="W8" s="458"/>
      <c r="X8" s="450"/>
      <c r="Y8" s="454"/>
      <c r="Z8" s="462"/>
      <c r="AA8" s="458"/>
      <c r="AB8" s="454"/>
      <c r="AC8" s="462"/>
      <c r="AD8" s="458"/>
      <c r="AE8" s="450"/>
      <c r="AF8" s="450"/>
    </row>
    <row r="9" spans="1:33" ht="67.5" customHeight="1" x14ac:dyDescent="0.25">
      <c r="A9" s="9"/>
      <c r="B9" s="451" t="s">
        <v>268</v>
      </c>
      <c r="C9" s="1011">
        <v>80</v>
      </c>
      <c r="D9" s="1011">
        <v>80</v>
      </c>
      <c r="E9" s="1012">
        <f>100*C9/D9</f>
        <v>100</v>
      </c>
      <c r="F9" s="1013">
        <f>1-(E9-50)/50</f>
        <v>0</v>
      </c>
      <c r="G9" s="457">
        <v>1</v>
      </c>
      <c r="H9" s="1014">
        <v>1</v>
      </c>
      <c r="I9" s="1012">
        <f>100*G9/H9</f>
        <v>100</v>
      </c>
      <c r="J9" s="1013">
        <f>1-(I9-50)/50</f>
        <v>0</v>
      </c>
      <c r="K9" s="457">
        <v>0</v>
      </c>
      <c r="L9" s="1014">
        <v>0</v>
      </c>
      <c r="M9" s="1012" t="s">
        <v>16</v>
      </c>
      <c r="N9" s="1015" t="s">
        <v>16</v>
      </c>
      <c r="O9" s="457">
        <v>0</v>
      </c>
      <c r="P9" s="1014">
        <v>0</v>
      </c>
      <c r="Q9" s="1012" t="s">
        <v>16</v>
      </c>
      <c r="R9" s="1015" t="s">
        <v>16</v>
      </c>
      <c r="S9" s="1016">
        <v>0</v>
      </c>
      <c r="T9" s="1017">
        <v>0</v>
      </c>
      <c r="U9" s="1018">
        <v>0</v>
      </c>
      <c r="V9" s="1013">
        <v>1</v>
      </c>
      <c r="W9" s="457">
        <v>0</v>
      </c>
      <c r="X9" s="1014">
        <v>0</v>
      </c>
      <c r="Y9" s="1019">
        <v>0</v>
      </c>
      <c r="Z9" s="1013">
        <v>1</v>
      </c>
      <c r="AA9" s="457">
        <f>'приложение 7'!B20</f>
        <v>0</v>
      </c>
      <c r="AB9" s="1012">
        <v>0</v>
      </c>
      <c r="AC9" s="1015">
        <v>1</v>
      </c>
      <c r="AD9" s="463">
        <v>80</v>
      </c>
      <c r="AE9" s="1020"/>
      <c r="AF9" s="1020"/>
      <c r="AG9" s="2"/>
    </row>
    <row r="10" spans="1:33" ht="63.75" customHeight="1" x14ac:dyDescent="0.25">
      <c r="A10" s="9"/>
      <c r="B10" s="451" t="s">
        <v>281</v>
      </c>
      <c r="C10" s="1014">
        <v>0</v>
      </c>
      <c r="D10" s="1014">
        <v>0</v>
      </c>
      <c r="E10" s="1012">
        <v>0</v>
      </c>
      <c r="F10" s="1013">
        <v>1</v>
      </c>
      <c r="G10" s="457">
        <v>0</v>
      </c>
      <c r="H10" s="1014">
        <v>0</v>
      </c>
      <c r="I10" s="1012">
        <v>0</v>
      </c>
      <c r="J10" s="1013">
        <v>1</v>
      </c>
      <c r="K10" s="457">
        <v>0</v>
      </c>
      <c r="L10" s="1014">
        <v>0</v>
      </c>
      <c r="M10" s="1012" t="s">
        <v>16</v>
      </c>
      <c r="N10" s="1015" t="s">
        <v>16</v>
      </c>
      <c r="O10" s="457">
        <v>0</v>
      </c>
      <c r="P10" s="1014">
        <v>0</v>
      </c>
      <c r="Q10" s="1012" t="s">
        <v>16</v>
      </c>
      <c r="R10" s="1015" t="s">
        <v>16</v>
      </c>
      <c r="S10" s="1016">
        <v>0</v>
      </c>
      <c r="T10" s="1017">
        <v>0</v>
      </c>
      <c r="U10" s="1018">
        <v>0</v>
      </c>
      <c r="V10" s="1021">
        <v>1</v>
      </c>
      <c r="W10" s="457">
        <v>0</v>
      </c>
      <c r="X10" s="1014">
        <v>0</v>
      </c>
      <c r="Y10" s="1019">
        <v>0</v>
      </c>
      <c r="Z10" s="1013">
        <v>1</v>
      </c>
      <c r="AA10" s="457">
        <f>'приложение 7'!B34</f>
        <v>0</v>
      </c>
      <c r="AB10" s="1012">
        <v>0</v>
      </c>
      <c r="AC10" s="1015">
        <v>1</v>
      </c>
      <c r="AD10" s="463">
        <v>0</v>
      </c>
      <c r="AE10" s="1020"/>
      <c r="AF10" s="1020"/>
      <c r="AG10" s="2"/>
    </row>
    <row r="11" spans="1:33" ht="75.75" customHeight="1" x14ac:dyDescent="0.25">
      <c r="A11" s="9"/>
      <c r="B11" s="451" t="s">
        <v>566</v>
      </c>
      <c r="C11" s="1014">
        <v>0</v>
      </c>
      <c r="D11" s="1014">
        <v>0</v>
      </c>
      <c r="E11" s="1012">
        <v>0</v>
      </c>
      <c r="F11" s="1013">
        <v>1</v>
      </c>
      <c r="G11" s="457">
        <v>0</v>
      </c>
      <c r="H11" s="1014">
        <v>0</v>
      </c>
      <c r="I11" s="1012">
        <v>0</v>
      </c>
      <c r="J11" s="1013">
        <v>1</v>
      </c>
      <c r="K11" s="457">
        <v>0</v>
      </c>
      <c r="L11" s="1014">
        <v>0</v>
      </c>
      <c r="M11" s="1012" t="s">
        <v>16</v>
      </c>
      <c r="N11" s="1015" t="s">
        <v>16</v>
      </c>
      <c r="O11" s="457">
        <v>0</v>
      </c>
      <c r="P11" s="1014">
        <v>0</v>
      </c>
      <c r="Q11" s="1012" t="s">
        <v>16</v>
      </c>
      <c r="R11" s="1015" t="s">
        <v>16</v>
      </c>
      <c r="S11" s="1016">
        <v>158.57</v>
      </c>
      <c r="T11" s="1017">
        <v>158.57</v>
      </c>
      <c r="U11" s="1018">
        <v>100</v>
      </c>
      <c r="V11" s="1013">
        <f>1-(U11-50)/50</f>
        <v>0</v>
      </c>
      <c r="W11" s="457">
        <v>2</v>
      </c>
      <c r="X11" s="1014">
        <v>2</v>
      </c>
      <c r="Y11" s="1019">
        <v>100</v>
      </c>
      <c r="Z11" s="1013">
        <f>1-(Y11-50)/50</f>
        <v>0</v>
      </c>
      <c r="AA11" s="457">
        <f>'приложение 7'!B21</f>
        <v>0</v>
      </c>
      <c r="AB11" s="1012">
        <v>0</v>
      </c>
      <c r="AC11" s="1015">
        <v>1</v>
      </c>
      <c r="AD11" s="457">
        <v>158.57</v>
      </c>
      <c r="AE11" s="1020"/>
      <c r="AF11" s="1020"/>
      <c r="AG11" s="2"/>
    </row>
    <row r="12" spans="1:33" ht="51.75" customHeight="1" x14ac:dyDescent="0.25">
      <c r="A12" s="9"/>
      <c r="B12" s="451" t="s">
        <v>567</v>
      </c>
      <c r="C12" s="1014">
        <v>0</v>
      </c>
      <c r="D12" s="1014">
        <v>0</v>
      </c>
      <c r="E12" s="1012">
        <v>0</v>
      </c>
      <c r="F12" s="1013">
        <v>1</v>
      </c>
      <c r="G12" s="457">
        <v>0</v>
      </c>
      <c r="H12" s="1014">
        <v>0</v>
      </c>
      <c r="I12" s="1012">
        <v>0</v>
      </c>
      <c r="J12" s="1013">
        <v>1</v>
      </c>
      <c r="K12" s="457">
        <v>0</v>
      </c>
      <c r="L12" s="1014">
        <v>0</v>
      </c>
      <c r="M12" s="1012" t="s">
        <v>16</v>
      </c>
      <c r="N12" s="1015" t="s">
        <v>16</v>
      </c>
      <c r="O12" s="457">
        <v>0</v>
      </c>
      <c r="P12" s="1014">
        <v>0</v>
      </c>
      <c r="Q12" s="1012" t="s">
        <v>16</v>
      </c>
      <c r="R12" s="1015" t="s">
        <v>16</v>
      </c>
      <c r="S12" s="1016">
        <v>0</v>
      </c>
      <c r="T12" s="1017">
        <v>0</v>
      </c>
      <c r="U12" s="1018">
        <v>0</v>
      </c>
      <c r="V12" s="1013">
        <v>1</v>
      </c>
      <c r="W12" s="457">
        <v>0</v>
      </c>
      <c r="X12" s="1014">
        <v>0</v>
      </c>
      <c r="Y12" s="1019">
        <v>0</v>
      </c>
      <c r="Z12" s="1013">
        <v>1</v>
      </c>
      <c r="AA12" s="457">
        <f>'приложение 7'!B37</f>
        <v>0</v>
      </c>
      <c r="AB12" s="1012">
        <v>0</v>
      </c>
      <c r="AC12" s="1015">
        <v>1</v>
      </c>
      <c r="AD12" s="463">
        <v>0</v>
      </c>
      <c r="AE12" s="1020"/>
      <c r="AF12" s="1020"/>
      <c r="AG12" s="2"/>
    </row>
    <row r="13" spans="1:33" ht="23.25" customHeight="1" x14ac:dyDescent="0.25">
      <c r="A13" s="9"/>
      <c r="B13" s="452" t="s">
        <v>283</v>
      </c>
      <c r="C13" s="1014">
        <v>0</v>
      </c>
      <c r="D13" s="1014">
        <v>0</v>
      </c>
      <c r="E13" s="1012">
        <v>0</v>
      </c>
      <c r="F13" s="1013">
        <v>1</v>
      </c>
      <c r="G13" s="457">
        <v>0</v>
      </c>
      <c r="H13" s="1014">
        <v>0</v>
      </c>
      <c r="I13" s="1012">
        <v>0</v>
      </c>
      <c r="J13" s="1013">
        <v>1</v>
      </c>
      <c r="K13" s="457">
        <v>0</v>
      </c>
      <c r="L13" s="1014">
        <v>0</v>
      </c>
      <c r="M13" s="1012" t="s">
        <v>16</v>
      </c>
      <c r="N13" s="1015" t="s">
        <v>16</v>
      </c>
      <c r="O13" s="457">
        <v>0</v>
      </c>
      <c r="P13" s="1014">
        <v>0</v>
      </c>
      <c r="Q13" s="1012" t="s">
        <v>16</v>
      </c>
      <c r="R13" s="1015" t="s">
        <v>16</v>
      </c>
      <c r="S13" s="1016">
        <v>0</v>
      </c>
      <c r="T13" s="1017">
        <v>0</v>
      </c>
      <c r="U13" s="1018">
        <v>0</v>
      </c>
      <c r="V13" s="1021">
        <v>1</v>
      </c>
      <c r="W13" s="457">
        <v>0</v>
      </c>
      <c r="X13" s="1014">
        <v>0</v>
      </c>
      <c r="Y13" s="1019">
        <v>0</v>
      </c>
      <c r="Z13" s="1013">
        <v>1</v>
      </c>
      <c r="AA13" s="457">
        <f>'приложение 7'!B32</f>
        <v>0</v>
      </c>
      <c r="AB13" s="1012">
        <v>0</v>
      </c>
      <c r="AC13" s="1015">
        <v>1</v>
      </c>
      <c r="AD13" s="463">
        <v>0</v>
      </c>
      <c r="AE13" s="1020"/>
      <c r="AF13" s="1020"/>
      <c r="AG13" s="2"/>
    </row>
    <row r="14" spans="1:33" ht="58.5" customHeight="1" x14ac:dyDescent="0.25">
      <c r="A14" s="9"/>
      <c r="B14" s="451" t="s">
        <v>282</v>
      </c>
      <c r="C14" s="1014">
        <v>0</v>
      </c>
      <c r="D14" s="1014">
        <v>0</v>
      </c>
      <c r="E14" s="1012">
        <v>0</v>
      </c>
      <c r="F14" s="1013">
        <v>1</v>
      </c>
      <c r="G14" s="457">
        <v>0</v>
      </c>
      <c r="H14" s="1014">
        <v>0</v>
      </c>
      <c r="I14" s="1012">
        <v>0</v>
      </c>
      <c r="J14" s="1013">
        <v>1</v>
      </c>
      <c r="K14" s="457">
        <v>0</v>
      </c>
      <c r="L14" s="1014">
        <v>0</v>
      </c>
      <c r="M14" s="1012" t="s">
        <v>16</v>
      </c>
      <c r="N14" s="1015" t="s">
        <v>16</v>
      </c>
      <c r="O14" s="457">
        <v>0</v>
      </c>
      <c r="P14" s="1014">
        <v>0</v>
      </c>
      <c r="Q14" s="1012" t="s">
        <v>16</v>
      </c>
      <c r="R14" s="1015" t="s">
        <v>16</v>
      </c>
      <c r="S14" s="1016">
        <v>0</v>
      </c>
      <c r="T14" s="1017">
        <v>0</v>
      </c>
      <c r="U14" s="1018">
        <v>0</v>
      </c>
      <c r="V14" s="1013">
        <v>1</v>
      </c>
      <c r="W14" s="457">
        <v>0</v>
      </c>
      <c r="X14" s="1014">
        <v>0</v>
      </c>
      <c r="Y14" s="1019">
        <v>0</v>
      </c>
      <c r="Z14" s="1013">
        <v>1</v>
      </c>
      <c r="AA14" s="457">
        <f>'приложение 7'!B30</f>
        <v>0</v>
      </c>
      <c r="AB14" s="1012">
        <v>0</v>
      </c>
      <c r="AC14" s="1015">
        <v>1</v>
      </c>
      <c r="AD14" s="463">
        <v>0</v>
      </c>
      <c r="AE14" s="1020"/>
      <c r="AF14" s="1020"/>
      <c r="AG14" s="2"/>
    </row>
    <row r="15" spans="1:33" ht="25.5" customHeight="1" x14ac:dyDescent="0.25">
      <c r="A15" s="9"/>
      <c r="B15" s="452" t="s">
        <v>568</v>
      </c>
      <c r="C15" s="1014">
        <v>0</v>
      </c>
      <c r="D15" s="1014">
        <v>0</v>
      </c>
      <c r="E15" s="1012">
        <v>0</v>
      </c>
      <c r="F15" s="1013">
        <v>1</v>
      </c>
      <c r="G15" s="457">
        <v>0</v>
      </c>
      <c r="H15" s="1014">
        <v>0</v>
      </c>
      <c r="I15" s="1012">
        <v>0</v>
      </c>
      <c r="J15" s="1013">
        <v>1</v>
      </c>
      <c r="K15" s="457">
        <v>0</v>
      </c>
      <c r="L15" s="1014">
        <v>0</v>
      </c>
      <c r="M15" s="1012" t="s">
        <v>16</v>
      </c>
      <c r="N15" s="1015" t="s">
        <v>16</v>
      </c>
      <c r="O15" s="457">
        <v>0</v>
      </c>
      <c r="P15" s="1014">
        <v>0</v>
      </c>
      <c r="Q15" s="1012" t="s">
        <v>16</v>
      </c>
      <c r="R15" s="1015" t="s">
        <v>16</v>
      </c>
      <c r="S15" s="1016">
        <v>73.19</v>
      </c>
      <c r="T15" s="1017">
        <v>73.19</v>
      </c>
      <c r="U15" s="1018">
        <v>100</v>
      </c>
      <c r="V15" s="1013">
        <f>1-(U15-50)/50</f>
        <v>0</v>
      </c>
      <c r="W15" s="457">
        <v>1</v>
      </c>
      <c r="X15" s="1014">
        <v>1</v>
      </c>
      <c r="Y15" s="1019">
        <v>100</v>
      </c>
      <c r="Z15" s="1013">
        <f>1-(Y15-50)/50</f>
        <v>0</v>
      </c>
      <c r="AA15" s="457">
        <f>'приложение 7'!B31</f>
        <v>0</v>
      </c>
      <c r="AB15" s="1012">
        <v>0</v>
      </c>
      <c r="AC15" s="1015">
        <v>1</v>
      </c>
      <c r="AD15" s="463">
        <v>73.19</v>
      </c>
      <c r="AE15" s="1020"/>
      <c r="AF15" s="1020"/>
      <c r="AG15" s="2"/>
    </row>
    <row r="16" spans="1:33" ht="78" customHeight="1" x14ac:dyDescent="0.25">
      <c r="A16" s="9"/>
      <c r="B16" s="451" t="s">
        <v>269</v>
      </c>
      <c r="C16" s="1014">
        <v>0</v>
      </c>
      <c r="D16" s="1014">
        <v>0</v>
      </c>
      <c r="E16" s="1012">
        <v>0</v>
      </c>
      <c r="F16" s="1013">
        <v>1</v>
      </c>
      <c r="G16" s="457">
        <v>0</v>
      </c>
      <c r="H16" s="1014">
        <v>0</v>
      </c>
      <c r="I16" s="1012">
        <v>0</v>
      </c>
      <c r="J16" s="1013">
        <v>1</v>
      </c>
      <c r="K16" s="457">
        <v>0</v>
      </c>
      <c r="L16" s="1014">
        <v>0</v>
      </c>
      <c r="M16" s="1012">
        <v>0</v>
      </c>
      <c r="N16" s="1013">
        <v>1</v>
      </c>
      <c r="O16" s="457">
        <v>0</v>
      </c>
      <c r="P16" s="1014">
        <v>0</v>
      </c>
      <c r="Q16" s="1012">
        <v>0</v>
      </c>
      <c r="R16" s="1013">
        <v>1</v>
      </c>
      <c r="S16" s="1016">
        <v>0</v>
      </c>
      <c r="T16" s="1017">
        <v>0</v>
      </c>
      <c r="U16" s="1018">
        <v>0</v>
      </c>
      <c r="V16" s="1021">
        <v>1</v>
      </c>
      <c r="W16" s="457">
        <v>0</v>
      </c>
      <c r="X16" s="1014">
        <v>0</v>
      </c>
      <c r="Y16" s="1019">
        <v>0</v>
      </c>
      <c r="Z16" s="1013">
        <v>1</v>
      </c>
      <c r="AA16" s="457">
        <f>'приложение 7'!B36</f>
        <v>0</v>
      </c>
      <c r="AB16" s="1012">
        <v>0</v>
      </c>
      <c r="AC16" s="1015">
        <v>1</v>
      </c>
      <c r="AD16" s="463">
        <v>0</v>
      </c>
      <c r="AE16" s="1020"/>
      <c r="AF16" s="1020"/>
      <c r="AG16" s="2"/>
    </row>
    <row r="17" spans="1:33" ht="30.75" customHeight="1" x14ac:dyDescent="0.25">
      <c r="A17" s="9"/>
      <c r="B17" s="452" t="s">
        <v>319</v>
      </c>
      <c r="C17" s="1014">
        <v>0</v>
      </c>
      <c r="D17" s="1014">
        <v>0</v>
      </c>
      <c r="E17" s="1012">
        <v>0</v>
      </c>
      <c r="F17" s="1013">
        <v>1</v>
      </c>
      <c r="G17" s="457">
        <v>0</v>
      </c>
      <c r="H17" s="1014">
        <v>0</v>
      </c>
      <c r="I17" s="1012">
        <v>0</v>
      </c>
      <c r="J17" s="1013">
        <v>1</v>
      </c>
      <c r="K17" s="457">
        <v>0</v>
      </c>
      <c r="L17" s="1014">
        <v>0</v>
      </c>
      <c r="M17" s="1012">
        <v>0</v>
      </c>
      <c r="N17" s="1013">
        <v>1</v>
      </c>
      <c r="O17" s="457">
        <v>0</v>
      </c>
      <c r="P17" s="1014">
        <v>0</v>
      </c>
      <c r="Q17" s="1012">
        <v>0</v>
      </c>
      <c r="R17" s="1013">
        <v>1</v>
      </c>
      <c r="S17" s="1016">
        <v>98.97</v>
      </c>
      <c r="T17" s="1017">
        <v>98.97</v>
      </c>
      <c r="U17" s="1018">
        <v>100</v>
      </c>
      <c r="V17" s="1013">
        <f>1-(U17-50)/50</f>
        <v>0</v>
      </c>
      <c r="W17" s="457">
        <v>3</v>
      </c>
      <c r="X17" s="1014">
        <v>3</v>
      </c>
      <c r="Y17" s="1019">
        <v>100</v>
      </c>
      <c r="Z17" s="1013">
        <f>1-(Y17-50)/50</f>
        <v>0</v>
      </c>
      <c r="AA17" s="457">
        <f>'приложение 7'!B33+'приложение 7'!C33</f>
        <v>0</v>
      </c>
      <c r="AB17" s="1012">
        <v>0</v>
      </c>
      <c r="AC17" s="1015">
        <v>1</v>
      </c>
      <c r="AD17" s="457">
        <v>98.97</v>
      </c>
      <c r="AE17" s="1020"/>
      <c r="AF17" s="1020"/>
      <c r="AG17" s="2"/>
    </row>
    <row r="18" spans="1:33" ht="58.5" customHeight="1" x14ac:dyDescent="0.25">
      <c r="A18" s="9"/>
      <c r="B18" s="451" t="s">
        <v>569</v>
      </c>
      <c r="C18" s="1014">
        <v>0</v>
      </c>
      <c r="D18" s="1014">
        <v>0</v>
      </c>
      <c r="E18" s="1012">
        <v>0</v>
      </c>
      <c r="F18" s="1013">
        <v>1</v>
      </c>
      <c r="G18" s="457">
        <v>0</v>
      </c>
      <c r="H18" s="1014">
        <v>0</v>
      </c>
      <c r="I18" s="1012">
        <v>0</v>
      </c>
      <c r="J18" s="1013">
        <v>1</v>
      </c>
      <c r="K18" s="457">
        <v>0</v>
      </c>
      <c r="L18" s="1014">
        <v>0</v>
      </c>
      <c r="M18" s="1012" t="s">
        <v>16</v>
      </c>
      <c r="N18" s="1015" t="s">
        <v>16</v>
      </c>
      <c r="O18" s="457">
        <v>0</v>
      </c>
      <c r="P18" s="1014">
        <v>0</v>
      </c>
      <c r="Q18" s="1012" t="s">
        <v>16</v>
      </c>
      <c r="R18" s="1015" t="s">
        <v>16</v>
      </c>
      <c r="S18" s="1016">
        <v>0</v>
      </c>
      <c r="T18" s="1017">
        <v>0</v>
      </c>
      <c r="U18" s="1018">
        <v>0</v>
      </c>
      <c r="V18" s="1021">
        <v>1</v>
      </c>
      <c r="W18" s="457">
        <v>0</v>
      </c>
      <c r="X18" s="1014">
        <v>0</v>
      </c>
      <c r="Y18" s="1019">
        <v>0</v>
      </c>
      <c r="Z18" s="1013">
        <v>1</v>
      </c>
      <c r="AA18" s="457">
        <f>'приложение 7'!B38</f>
        <v>0</v>
      </c>
      <c r="AB18" s="1012">
        <v>0</v>
      </c>
      <c r="AC18" s="1015">
        <v>1</v>
      </c>
      <c r="AD18" s="463">
        <v>0</v>
      </c>
      <c r="AE18" s="1020"/>
      <c r="AF18" s="1020"/>
      <c r="AG18" s="2"/>
    </row>
    <row r="19" spans="1:33" ht="62.25" customHeight="1" x14ac:dyDescent="0.25">
      <c r="A19" s="9"/>
      <c r="B19" s="451" t="s">
        <v>570</v>
      </c>
      <c r="C19" s="1014">
        <v>0</v>
      </c>
      <c r="D19" s="1014">
        <v>0</v>
      </c>
      <c r="E19" s="1012">
        <v>0</v>
      </c>
      <c r="F19" s="1013">
        <v>1</v>
      </c>
      <c r="G19" s="457">
        <v>0</v>
      </c>
      <c r="H19" s="1014">
        <v>0</v>
      </c>
      <c r="I19" s="1012">
        <v>0</v>
      </c>
      <c r="J19" s="1013">
        <v>1</v>
      </c>
      <c r="K19" s="457">
        <v>0</v>
      </c>
      <c r="L19" s="1014">
        <v>0</v>
      </c>
      <c r="M19" s="1012">
        <v>0</v>
      </c>
      <c r="N19" s="1013">
        <v>1</v>
      </c>
      <c r="O19" s="457">
        <v>0</v>
      </c>
      <c r="P19" s="1014">
        <v>0</v>
      </c>
      <c r="Q19" s="1012">
        <v>0</v>
      </c>
      <c r="R19" s="1013">
        <v>1</v>
      </c>
      <c r="S19" s="1016">
        <v>0</v>
      </c>
      <c r="T19" s="1017">
        <v>0</v>
      </c>
      <c r="U19" s="1018">
        <v>0</v>
      </c>
      <c r="V19" s="1013">
        <v>1</v>
      </c>
      <c r="W19" s="457">
        <v>0</v>
      </c>
      <c r="X19" s="1014">
        <v>0</v>
      </c>
      <c r="Y19" s="1019">
        <v>0</v>
      </c>
      <c r="Z19" s="1013">
        <v>1</v>
      </c>
      <c r="AA19" s="457">
        <f>'приложение 7'!B35+'приложение 7'!C35</f>
        <v>0</v>
      </c>
      <c r="AB19" s="1012">
        <v>0</v>
      </c>
      <c r="AC19" s="1015">
        <v>1</v>
      </c>
      <c r="AD19" s="463">
        <v>0</v>
      </c>
      <c r="AE19" s="1020"/>
      <c r="AF19" s="1020"/>
      <c r="AG19" s="2"/>
    </row>
    <row r="20" spans="1:33" ht="48.75" customHeight="1" x14ac:dyDescent="0.25">
      <c r="A20" s="9"/>
      <c r="B20" s="451" t="s">
        <v>291</v>
      </c>
      <c r="C20" s="1014">
        <v>0</v>
      </c>
      <c r="D20" s="1014">
        <v>0</v>
      </c>
      <c r="E20" s="1012">
        <v>0</v>
      </c>
      <c r="F20" s="1013">
        <v>1</v>
      </c>
      <c r="G20" s="457">
        <v>0</v>
      </c>
      <c r="H20" s="1014">
        <v>0</v>
      </c>
      <c r="I20" s="1012">
        <v>0</v>
      </c>
      <c r="J20" s="1013">
        <v>1</v>
      </c>
      <c r="K20" s="457">
        <v>0</v>
      </c>
      <c r="L20" s="1014">
        <v>0</v>
      </c>
      <c r="M20" s="1012" t="s">
        <v>16</v>
      </c>
      <c r="N20" s="1015" t="s">
        <v>16</v>
      </c>
      <c r="O20" s="457">
        <v>0</v>
      </c>
      <c r="P20" s="1014">
        <v>0</v>
      </c>
      <c r="Q20" s="1012" t="s">
        <v>16</v>
      </c>
      <c r="R20" s="1015" t="s">
        <v>16</v>
      </c>
      <c r="S20" s="1016">
        <v>0</v>
      </c>
      <c r="T20" s="1022">
        <v>0</v>
      </c>
      <c r="U20" s="1018">
        <v>0</v>
      </c>
      <c r="V20" s="1013">
        <v>1</v>
      </c>
      <c r="W20" s="457">
        <v>0</v>
      </c>
      <c r="X20" s="1014">
        <v>0</v>
      </c>
      <c r="Y20" s="1019">
        <v>0</v>
      </c>
      <c r="Z20" s="1013">
        <v>1</v>
      </c>
      <c r="AA20" s="457">
        <f>'приложение 7'!B22</f>
        <v>0</v>
      </c>
      <c r="AB20" s="1012">
        <v>0</v>
      </c>
      <c r="AC20" s="1015">
        <v>1</v>
      </c>
      <c r="AD20" s="463">
        <v>0</v>
      </c>
      <c r="AE20" s="1020"/>
      <c r="AF20" s="1020"/>
      <c r="AG20" s="2"/>
    </row>
    <row r="21" spans="1:33" ht="66.75" customHeight="1" x14ac:dyDescent="0.25">
      <c r="A21" s="9"/>
      <c r="B21" s="451" t="s">
        <v>270</v>
      </c>
      <c r="C21" s="1011">
        <v>56942.47</v>
      </c>
      <c r="D21" s="1011">
        <v>56942.47</v>
      </c>
      <c r="E21" s="1012">
        <f>100*C21/D21</f>
        <v>100</v>
      </c>
      <c r="F21" s="1013">
        <f>1-(E21-50)/50</f>
        <v>0</v>
      </c>
      <c r="G21" s="457">
        <v>12</v>
      </c>
      <c r="H21" s="1014">
        <v>12</v>
      </c>
      <c r="I21" s="1012">
        <f>100*G21/H21</f>
        <v>100</v>
      </c>
      <c r="J21" s="1013">
        <f>1-(I21-50)/50</f>
        <v>0</v>
      </c>
      <c r="K21" s="457">
        <v>0</v>
      </c>
      <c r="L21" s="1014">
        <v>0</v>
      </c>
      <c r="M21" s="1012" t="s">
        <v>16</v>
      </c>
      <c r="N21" s="1015" t="s">
        <v>16</v>
      </c>
      <c r="O21" s="457">
        <v>0</v>
      </c>
      <c r="P21" s="1014">
        <v>0</v>
      </c>
      <c r="Q21" s="1012" t="s">
        <v>16</v>
      </c>
      <c r="R21" s="1015" t="s">
        <v>16</v>
      </c>
      <c r="S21" s="1016">
        <v>0</v>
      </c>
      <c r="T21" s="1017">
        <v>0</v>
      </c>
      <c r="U21" s="1018">
        <v>0</v>
      </c>
      <c r="V21" s="1021">
        <v>1</v>
      </c>
      <c r="W21" s="457">
        <v>0</v>
      </c>
      <c r="X21" s="1014">
        <v>0</v>
      </c>
      <c r="Y21" s="1019">
        <v>0</v>
      </c>
      <c r="Z21" s="1013">
        <v>1</v>
      </c>
      <c r="AA21" s="457">
        <f>'приложение 7'!B39</f>
        <v>1</v>
      </c>
      <c r="AB21" s="1012">
        <v>1</v>
      </c>
      <c r="AC21" s="1015">
        <v>0</v>
      </c>
      <c r="AD21" s="463">
        <v>56942.47</v>
      </c>
      <c r="AE21" s="1020"/>
      <c r="AF21" s="1020"/>
      <c r="AG21" s="2"/>
    </row>
    <row r="22" spans="1:33" ht="69.75" customHeight="1" x14ac:dyDescent="0.25">
      <c r="A22" s="9"/>
      <c r="B22" s="451" t="s">
        <v>274</v>
      </c>
      <c r="C22" s="1014">
        <v>0</v>
      </c>
      <c r="D22" s="1014">
        <v>0</v>
      </c>
      <c r="E22" s="1012">
        <v>0</v>
      </c>
      <c r="F22" s="1013">
        <v>1</v>
      </c>
      <c r="G22" s="457">
        <v>0</v>
      </c>
      <c r="H22" s="1014">
        <v>0</v>
      </c>
      <c r="I22" s="1012">
        <v>0</v>
      </c>
      <c r="J22" s="1013">
        <v>1</v>
      </c>
      <c r="K22" s="457">
        <v>0</v>
      </c>
      <c r="L22" s="1014">
        <v>0</v>
      </c>
      <c r="M22" s="1012" t="s">
        <v>16</v>
      </c>
      <c r="N22" s="1015" t="s">
        <v>16</v>
      </c>
      <c r="O22" s="457">
        <v>0</v>
      </c>
      <c r="P22" s="1014">
        <v>0</v>
      </c>
      <c r="Q22" s="1012" t="s">
        <v>16</v>
      </c>
      <c r="R22" s="1015" t="s">
        <v>16</v>
      </c>
      <c r="S22" s="1016">
        <v>0</v>
      </c>
      <c r="T22" s="1017">
        <v>0</v>
      </c>
      <c r="U22" s="1018">
        <v>0</v>
      </c>
      <c r="V22" s="1013">
        <v>1</v>
      </c>
      <c r="W22" s="457">
        <v>0</v>
      </c>
      <c r="X22" s="1014">
        <v>0</v>
      </c>
      <c r="Y22" s="1019">
        <v>0</v>
      </c>
      <c r="Z22" s="1013">
        <v>1</v>
      </c>
      <c r="AA22" s="457">
        <f>'приложение 7'!B40</f>
        <v>0</v>
      </c>
      <c r="AB22" s="1012">
        <v>0</v>
      </c>
      <c r="AC22" s="1015">
        <v>1</v>
      </c>
      <c r="AD22" s="463">
        <v>0</v>
      </c>
      <c r="AE22" s="1020"/>
      <c r="AF22" s="1020"/>
      <c r="AG22" s="2"/>
    </row>
    <row r="23" spans="1:33" ht="22.5" customHeight="1" x14ac:dyDescent="0.25">
      <c r="A23" s="9"/>
      <c r="B23" s="451" t="s">
        <v>275</v>
      </c>
      <c r="C23" s="1011">
        <v>18954.2</v>
      </c>
      <c r="D23" s="1011">
        <v>18954.2</v>
      </c>
      <c r="E23" s="1012">
        <f>100*C23/D23</f>
        <v>100</v>
      </c>
      <c r="F23" s="1013">
        <f>1-(E23-50)/50</f>
        <v>0</v>
      </c>
      <c r="G23" s="457">
        <v>2</v>
      </c>
      <c r="H23" s="1014">
        <v>2</v>
      </c>
      <c r="I23" s="1012">
        <f>100*G23/H23</f>
        <v>100</v>
      </c>
      <c r="J23" s="1013">
        <f>1-(I23-50)/50</f>
        <v>0</v>
      </c>
      <c r="K23" s="457">
        <v>0</v>
      </c>
      <c r="L23" s="1014">
        <v>0</v>
      </c>
      <c r="M23" s="1012" t="s">
        <v>16</v>
      </c>
      <c r="N23" s="1015" t="s">
        <v>16</v>
      </c>
      <c r="O23" s="457">
        <v>0</v>
      </c>
      <c r="P23" s="1014">
        <v>0</v>
      </c>
      <c r="Q23" s="1012" t="s">
        <v>16</v>
      </c>
      <c r="R23" s="1015" t="s">
        <v>16</v>
      </c>
      <c r="S23" s="1016">
        <v>0</v>
      </c>
      <c r="T23" s="1017">
        <v>0</v>
      </c>
      <c r="U23" s="1018">
        <v>0</v>
      </c>
      <c r="V23" s="1021">
        <v>1</v>
      </c>
      <c r="W23" s="457">
        <v>0</v>
      </c>
      <c r="X23" s="1014">
        <v>0</v>
      </c>
      <c r="Y23" s="1019">
        <v>0</v>
      </c>
      <c r="Z23" s="1013">
        <v>1</v>
      </c>
      <c r="AA23" s="457">
        <f>'приложение 7'!B42</f>
        <v>0</v>
      </c>
      <c r="AB23" s="1012">
        <v>0</v>
      </c>
      <c r="AC23" s="1015">
        <v>1</v>
      </c>
      <c r="AD23" s="463">
        <v>18954.2</v>
      </c>
      <c r="AE23" s="1020"/>
      <c r="AF23" s="1020"/>
      <c r="AG23" s="2"/>
    </row>
    <row r="24" spans="1:33" ht="56.25" customHeight="1" x14ac:dyDescent="0.25">
      <c r="A24" s="1023"/>
      <c r="B24" s="465" t="s">
        <v>571</v>
      </c>
      <c r="C24" s="1014">
        <v>0</v>
      </c>
      <c r="D24" s="1014">
        <v>0</v>
      </c>
      <c r="E24" s="1012">
        <v>0</v>
      </c>
      <c r="F24" s="1013">
        <v>1</v>
      </c>
      <c r="G24" s="457">
        <v>0</v>
      </c>
      <c r="H24" s="1014">
        <v>0</v>
      </c>
      <c r="I24" s="1012">
        <v>0</v>
      </c>
      <c r="J24" s="1013">
        <v>1</v>
      </c>
      <c r="K24" s="457">
        <v>0</v>
      </c>
      <c r="L24" s="1014">
        <v>0</v>
      </c>
      <c r="M24" s="1012" t="s">
        <v>16</v>
      </c>
      <c r="N24" s="1015" t="s">
        <v>16</v>
      </c>
      <c r="O24" s="457">
        <v>0</v>
      </c>
      <c r="P24" s="1014">
        <v>0</v>
      </c>
      <c r="Q24" s="1012" t="s">
        <v>16</v>
      </c>
      <c r="R24" s="1015" t="s">
        <v>16</v>
      </c>
      <c r="S24" s="1016">
        <v>0</v>
      </c>
      <c r="T24" s="1017">
        <v>0</v>
      </c>
      <c r="U24" s="1018">
        <v>0</v>
      </c>
      <c r="V24" s="1013">
        <v>1</v>
      </c>
      <c r="W24" s="457">
        <v>0</v>
      </c>
      <c r="X24" s="1014">
        <v>0</v>
      </c>
      <c r="Y24" s="1019">
        <v>0</v>
      </c>
      <c r="Z24" s="1013">
        <v>1</v>
      </c>
      <c r="AA24" s="457">
        <f>'приложение 7'!B41</f>
        <v>0</v>
      </c>
      <c r="AB24" s="1012">
        <v>0</v>
      </c>
      <c r="AC24" s="1015">
        <v>1</v>
      </c>
      <c r="AD24" s="463">
        <v>0</v>
      </c>
      <c r="AE24" s="1020"/>
      <c r="AF24" s="1020"/>
      <c r="AG24" s="2"/>
    </row>
    <row r="25" spans="1:33" ht="64.5" customHeight="1" x14ac:dyDescent="0.25">
      <c r="A25" s="9"/>
      <c r="B25" s="451" t="s">
        <v>271</v>
      </c>
      <c r="C25" s="1011">
        <v>4367.3</v>
      </c>
      <c r="D25" s="1011">
        <v>4367.3</v>
      </c>
      <c r="E25" s="1012">
        <f>100*C25/D25</f>
        <v>100</v>
      </c>
      <c r="F25" s="1013">
        <f>1-(E25-50)/50</f>
        <v>0</v>
      </c>
      <c r="G25" s="457">
        <v>2</v>
      </c>
      <c r="H25" s="1014">
        <v>2</v>
      </c>
      <c r="I25" s="1012">
        <f>100*G25/H25</f>
        <v>100</v>
      </c>
      <c r="J25" s="1013">
        <f>1-(I25-50)/50</f>
        <v>0</v>
      </c>
      <c r="K25" s="457">
        <v>0</v>
      </c>
      <c r="L25" s="1014">
        <v>0</v>
      </c>
      <c r="M25" s="1012" t="s">
        <v>16</v>
      </c>
      <c r="N25" s="1015" t="s">
        <v>16</v>
      </c>
      <c r="O25" s="457">
        <v>0</v>
      </c>
      <c r="P25" s="1014">
        <v>0</v>
      </c>
      <c r="Q25" s="1012" t="s">
        <v>16</v>
      </c>
      <c r="R25" s="1015" t="s">
        <v>16</v>
      </c>
      <c r="S25" s="1016">
        <v>0</v>
      </c>
      <c r="T25" s="1017">
        <v>0</v>
      </c>
      <c r="U25" s="1018">
        <v>0</v>
      </c>
      <c r="V25" s="1013">
        <v>1</v>
      </c>
      <c r="W25" s="457">
        <v>0</v>
      </c>
      <c r="X25" s="1014">
        <v>0</v>
      </c>
      <c r="Y25" s="1019">
        <v>0</v>
      </c>
      <c r="Z25" s="1013">
        <v>1</v>
      </c>
      <c r="AA25" s="457">
        <f>'приложение 7'!B23</f>
        <v>1</v>
      </c>
      <c r="AB25" s="1012">
        <v>1</v>
      </c>
      <c r="AC25" s="1015">
        <v>0</v>
      </c>
      <c r="AD25" s="463">
        <v>4367.3</v>
      </c>
      <c r="AE25" s="1020"/>
      <c r="AF25" s="1020"/>
      <c r="AG25" s="2"/>
    </row>
    <row r="26" spans="1:33" ht="54" customHeight="1" x14ac:dyDescent="0.25">
      <c r="A26" s="9"/>
      <c r="B26" s="451" t="s">
        <v>572</v>
      </c>
      <c r="C26" s="1014">
        <v>0</v>
      </c>
      <c r="D26" s="1014">
        <v>0</v>
      </c>
      <c r="E26" s="1012">
        <v>0</v>
      </c>
      <c r="F26" s="1013">
        <v>1</v>
      </c>
      <c r="G26" s="457">
        <v>0</v>
      </c>
      <c r="H26" s="1014">
        <v>0</v>
      </c>
      <c r="I26" s="1012">
        <v>0</v>
      </c>
      <c r="J26" s="1013">
        <v>1</v>
      </c>
      <c r="K26" s="457">
        <v>0</v>
      </c>
      <c r="L26" s="1014">
        <v>0</v>
      </c>
      <c r="M26" s="1012" t="s">
        <v>16</v>
      </c>
      <c r="N26" s="1015" t="s">
        <v>16</v>
      </c>
      <c r="O26" s="457">
        <v>0</v>
      </c>
      <c r="P26" s="1014">
        <v>0</v>
      </c>
      <c r="Q26" s="1012" t="s">
        <v>16</v>
      </c>
      <c r="R26" s="1015" t="s">
        <v>16</v>
      </c>
      <c r="S26" s="1016">
        <v>0</v>
      </c>
      <c r="T26" s="1017">
        <v>0</v>
      </c>
      <c r="U26" s="1018">
        <v>0</v>
      </c>
      <c r="V26" s="1021">
        <v>1</v>
      </c>
      <c r="W26" s="457">
        <v>0</v>
      </c>
      <c r="X26" s="1014">
        <v>0</v>
      </c>
      <c r="Y26" s="1019">
        <v>0</v>
      </c>
      <c r="Z26" s="1013">
        <v>1</v>
      </c>
      <c r="AA26" s="457">
        <f>'приложение 7'!B24</f>
        <v>0</v>
      </c>
      <c r="AB26" s="1012">
        <v>0</v>
      </c>
      <c r="AC26" s="1015">
        <v>1</v>
      </c>
      <c r="AD26" s="463">
        <v>0</v>
      </c>
      <c r="AE26" s="1020"/>
      <c r="AF26" s="1020"/>
      <c r="AG26" s="2"/>
    </row>
    <row r="27" spans="1:33" ht="27.75" customHeight="1" x14ac:dyDescent="0.25">
      <c r="A27" s="9"/>
      <c r="B27" s="451" t="s">
        <v>573</v>
      </c>
      <c r="C27" s="1014">
        <v>88.67</v>
      </c>
      <c r="D27" s="1014">
        <v>88.67</v>
      </c>
      <c r="E27" s="1012">
        <f>100*C27/D27</f>
        <v>100</v>
      </c>
      <c r="F27" s="1013">
        <f>1-(E27-50)/50</f>
        <v>0</v>
      </c>
      <c r="G27" s="457">
        <v>1</v>
      </c>
      <c r="H27" s="1014">
        <v>1</v>
      </c>
      <c r="I27" s="1012">
        <f>100*G27/H27</f>
        <v>100</v>
      </c>
      <c r="J27" s="1013">
        <f>1-(I27-50)/50</f>
        <v>0</v>
      </c>
      <c r="K27" s="457">
        <v>0</v>
      </c>
      <c r="L27" s="1014">
        <v>0</v>
      </c>
      <c r="M27" s="1012" t="s">
        <v>16</v>
      </c>
      <c r="N27" s="1015" t="s">
        <v>16</v>
      </c>
      <c r="O27" s="457">
        <v>0</v>
      </c>
      <c r="P27" s="1014">
        <v>0</v>
      </c>
      <c r="Q27" s="1012" t="s">
        <v>16</v>
      </c>
      <c r="R27" s="1015" t="s">
        <v>16</v>
      </c>
      <c r="S27" s="1016">
        <v>0</v>
      </c>
      <c r="T27" s="1017">
        <v>0</v>
      </c>
      <c r="U27" s="1018">
        <v>0</v>
      </c>
      <c r="V27" s="1021">
        <v>1</v>
      </c>
      <c r="W27" s="457">
        <v>0</v>
      </c>
      <c r="X27" s="1014">
        <v>0</v>
      </c>
      <c r="Y27" s="1019">
        <v>0</v>
      </c>
      <c r="Z27" s="1013">
        <v>1</v>
      </c>
      <c r="AA27" s="457">
        <f>'приложение 7'!B27</f>
        <v>0</v>
      </c>
      <c r="AB27" s="1012">
        <v>0</v>
      </c>
      <c r="AC27" s="1015">
        <v>1</v>
      </c>
      <c r="AD27" s="463">
        <v>88.67</v>
      </c>
      <c r="AE27" s="1020"/>
      <c r="AF27" s="1020"/>
      <c r="AG27" s="2"/>
    </row>
    <row r="28" spans="1:33" ht="23.25" customHeight="1" x14ac:dyDescent="0.25">
      <c r="A28" s="9"/>
      <c r="B28" s="451" t="s">
        <v>293</v>
      </c>
      <c r="C28" s="1014">
        <v>0</v>
      </c>
      <c r="D28" s="1014">
        <v>0</v>
      </c>
      <c r="E28" s="1012">
        <v>0</v>
      </c>
      <c r="F28" s="1013">
        <v>1</v>
      </c>
      <c r="G28" s="457">
        <v>0</v>
      </c>
      <c r="H28" s="1014">
        <v>0</v>
      </c>
      <c r="I28" s="1012">
        <v>0</v>
      </c>
      <c r="J28" s="1013">
        <v>1</v>
      </c>
      <c r="K28" s="457">
        <v>0</v>
      </c>
      <c r="L28" s="1014">
        <v>0</v>
      </c>
      <c r="M28" s="1012" t="s">
        <v>16</v>
      </c>
      <c r="N28" s="1015" t="s">
        <v>16</v>
      </c>
      <c r="O28" s="457">
        <v>0</v>
      </c>
      <c r="P28" s="1014">
        <v>0</v>
      </c>
      <c r="Q28" s="1012" t="s">
        <v>16</v>
      </c>
      <c r="R28" s="1015" t="s">
        <v>16</v>
      </c>
      <c r="S28" s="1016">
        <v>0</v>
      </c>
      <c r="T28" s="1017">
        <v>0</v>
      </c>
      <c r="U28" s="1018">
        <v>0</v>
      </c>
      <c r="V28" s="1021">
        <v>1</v>
      </c>
      <c r="W28" s="457">
        <v>0</v>
      </c>
      <c r="X28" s="1014">
        <v>0</v>
      </c>
      <c r="Y28" s="1019">
        <v>0</v>
      </c>
      <c r="Z28" s="1013">
        <v>1</v>
      </c>
      <c r="AA28" s="457">
        <f>'приложение 7'!B25</f>
        <v>0</v>
      </c>
      <c r="AB28" s="1012">
        <v>0</v>
      </c>
      <c r="AC28" s="1015">
        <v>1</v>
      </c>
      <c r="AD28" s="463">
        <v>0</v>
      </c>
      <c r="AE28" s="1020"/>
      <c r="AF28" s="1020"/>
      <c r="AG28" s="2"/>
    </row>
    <row r="29" spans="1:33" ht="24" customHeight="1" x14ac:dyDescent="0.25">
      <c r="A29" s="9"/>
      <c r="B29" s="451" t="s">
        <v>296</v>
      </c>
      <c r="C29" s="1014">
        <v>0</v>
      </c>
      <c r="D29" s="1014">
        <v>0</v>
      </c>
      <c r="E29" s="1012">
        <v>0</v>
      </c>
      <c r="F29" s="1013">
        <v>1</v>
      </c>
      <c r="G29" s="457">
        <v>0</v>
      </c>
      <c r="H29" s="1014">
        <v>0</v>
      </c>
      <c r="I29" s="1012">
        <v>0</v>
      </c>
      <c r="J29" s="1013">
        <v>1</v>
      </c>
      <c r="K29" s="457">
        <v>0</v>
      </c>
      <c r="L29" s="1014">
        <v>0</v>
      </c>
      <c r="M29" s="1012" t="s">
        <v>16</v>
      </c>
      <c r="N29" s="1015" t="s">
        <v>16</v>
      </c>
      <c r="O29" s="457">
        <v>0</v>
      </c>
      <c r="P29" s="1014">
        <v>0</v>
      </c>
      <c r="Q29" s="1012" t="s">
        <v>16</v>
      </c>
      <c r="R29" s="1015" t="s">
        <v>16</v>
      </c>
      <c r="S29" s="1016">
        <v>0</v>
      </c>
      <c r="T29" s="1017">
        <v>0</v>
      </c>
      <c r="U29" s="1018">
        <v>0</v>
      </c>
      <c r="V29" s="1021">
        <v>1</v>
      </c>
      <c r="W29" s="457">
        <v>0</v>
      </c>
      <c r="X29" s="1014">
        <v>0</v>
      </c>
      <c r="Y29" s="1019">
        <v>0</v>
      </c>
      <c r="Z29" s="1013">
        <v>1</v>
      </c>
      <c r="AA29" s="457">
        <f>'приложение 7'!B29</f>
        <v>0</v>
      </c>
      <c r="AB29" s="1012">
        <v>0</v>
      </c>
      <c r="AC29" s="1015">
        <v>1</v>
      </c>
      <c r="AD29" s="463">
        <v>0</v>
      </c>
      <c r="AE29" s="1020"/>
      <c r="AF29" s="1020"/>
      <c r="AG29" s="2"/>
    </row>
    <row r="30" spans="1:33" ht="23.25" customHeight="1" x14ac:dyDescent="0.25">
      <c r="A30" s="9"/>
      <c r="B30" s="451" t="s">
        <v>294</v>
      </c>
      <c r="C30" s="1014">
        <v>0</v>
      </c>
      <c r="D30" s="1014">
        <v>0</v>
      </c>
      <c r="E30" s="1012">
        <v>0</v>
      </c>
      <c r="F30" s="1013">
        <v>1</v>
      </c>
      <c r="G30" s="457">
        <v>0</v>
      </c>
      <c r="H30" s="1014">
        <v>0</v>
      </c>
      <c r="I30" s="1012">
        <v>0</v>
      </c>
      <c r="J30" s="1013">
        <v>1</v>
      </c>
      <c r="K30" s="457">
        <v>0</v>
      </c>
      <c r="L30" s="1014">
        <v>0</v>
      </c>
      <c r="M30" s="1012" t="s">
        <v>16</v>
      </c>
      <c r="N30" s="1015" t="s">
        <v>16</v>
      </c>
      <c r="O30" s="457">
        <v>0</v>
      </c>
      <c r="P30" s="1014">
        <v>0</v>
      </c>
      <c r="Q30" s="1012" t="s">
        <v>16</v>
      </c>
      <c r="R30" s="1015" t="s">
        <v>16</v>
      </c>
      <c r="S30" s="1016">
        <v>0</v>
      </c>
      <c r="T30" s="1017">
        <v>0</v>
      </c>
      <c r="U30" s="1018">
        <v>0</v>
      </c>
      <c r="V30" s="1021">
        <v>1</v>
      </c>
      <c r="W30" s="457">
        <v>0</v>
      </c>
      <c r="X30" s="1014">
        <v>0</v>
      </c>
      <c r="Y30" s="1019">
        <v>0</v>
      </c>
      <c r="Z30" s="1013">
        <v>1</v>
      </c>
      <c r="AA30" s="457">
        <f>'приложение 7'!B26</f>
        <v>0</v>
      </c>
      <c r="AB30" s="1012">
        <v>0</v>
      </c>
      <c r="AC30" s="1015">
        <v>1</v>
      </c>
      <c r="AD30" s="463">
        <v>0</v>
      </c>
      <c r="AE30" s="1020"/>
      <c r="AF30" s="1020"/>
      <c r="AG30" s="2"/>
    </row>
    <row r="31" spans="1:33" ht="26.25" customHeight="1" x14ac:dyDescent="0.25">
      <c r="A31" s="9"/>
      <c r="B31" s="451" t="s">
        <v>290</v>
      </c>
      <c r="C31" s="1014">
        <v>0</v>
      </c>
      <c r="D31" s="1014">
        <v>0</v>
      </c>
      <c r="E31" s="1012">
        <v>0</v>
      </c>
      <c r="F31" s="1013">
        <v>1</v>
      </c>
      <c r="G31" s="457">
        <v>0</v>
      </c>
      <c r="H31" s="1014">
        <v>0</v>
      </c>
      <c r="I31" s="1012">
        <v>0</v>
      </c>
      <c r="J31" s="1013">
        <v>1</v>
      </c>
      <c r="K31" s="457">
        <v>0</v>
      </c>
      <c r="L31" s="1014">
        <v>0</v>
      </c>
      <c r="M31" s="1012" t="s">
        <v>16</v>
      </c>
      <c r="N31" s="1015" t="s">
        <v>16</v>
      </c>
      <c r="O31" s="457">
        <v>0</v>
      </c>
      <c r="P31" s="1014">
        <v>0</v>
      </c>
      <c r="Q31" s="1012" t="s">
        <v>16</v>
      </c>
      <c r="R31" s="1015" t="s">
        <v>16</v>
      </c>
      <c r="S31" s="1016">
        <v>0</v>
      </c>
      <c r="T31" s="1017">
        <v>0</v>
      </c>
      <c r="U31" s="1018">
        <v>0</v>
      </c>
      <c r="V31" s="1021">
        <v>1</v>
      </c>
      <c r="W31" s="457">
        <v>0</v>
      </c>
      <c r="X31" s="1014">
        <v>0</v>
      </c>
      <c r="Y31" s="1019">
        <v>0</v>
      </c>
      <c r="Z31" s="1013">
        <v>1</v>
      </c>
      <c r="AA31" s="457">
        <f>'приложение 7'!B28</f>
        <v>0</v>
      </c>
      <c r="AB31" s="1012">
        <v>0</v>
      </c>
      <c r="AC31" s="1015">
        <v>1</v>
      </c>
      <c r="AD31" s="463">
        <v>0</v>
      </c>
      <c r="AE31" s="1020"/>
      <c r="AF31" s="1020"/>
      <c r="AG31" s="2"/>
    </row>
    <row r="32" spans="1:33" ht="55.5" customHeight="1" x14ac:dyDescent="0.25">
      <c r="A32" s="9"/>
      <c r="B32" s="451" t="s">
        <v>574</v>
      </c>
      <c r="C32" s="1014">
        <v>0</v>
      </c>
      <c r="D32" s="1014">
        <v>0</v>
      </c>
      <c r="E32" s="1012">
        <v>0</v>
      </c>
      <c r="F32" s="1013">
        <v>1</v>
      </c>
      <c r="G32" s="457">
        <v>0</v>
      </c>
      <c r="H32" s="1014">
        <v>0</v>
      </c>
      <c r="I32" s="1012">
        <v>0</v>
      </c>
      <c r="J32" s="1013">
        <v>1</v>
      </c>
      <c r="K32" s="457">
        <v>0</v>
      </c>
      <c r="L32" s="1014">
        <v>0</v>
      </c>
      <c r="M32" s="1012" t="s">
        <v>16</v>
      </c>
      <c r="N32" s="1015" t="s">
        <v>16</v>
      </c>
      <c r="O32" s="457">
        <v>0</v>
      </c>
      <c r="P32" s="1014">
        <v>0</v>
      </c>
      <c r="Q32" s="1012" t="s">
        <v>16</v>
      </c>
      <c r="R32" s="1015" t="s">
        <v>16</v>
      </c>
      <c r="S32" s="1016">
        <v>0</v>
      </c>
      <c r="T32" s="1017">
        <v>0</v>
      </c>
      <c r="U32" s="1018">
        <v>0</v>
      </c>
      <c r="V32" s="1021">
        <v>1</v>
      </c>
      <c r="W32" s="457">
        <v>0</v>
      </c>
      <c r="X32" s="1014">
        <v>0</v>
      </c>
      <c r="Y32" s="1019">
        <v>0</v>
      </c>
      <c r="Z32" s="1013">
        <v>1</v>
      </c>
      <c r="AA32" s="457">
        <f>'приложение 7'!B43</f>
        <v>0</v>
      </c>
      <c r="AB32" s="1012">
        <v>0</v>
      </c>
      <c r="AC32" s="1015">
        <v>1</v>
      </c>
      <c r="AD32" s="463">
        <v>0</v>
      </c>
      <c r="AE32" s="1020"/>
      <c r="AF32" s="1020"/>
      <c r="AG32" s="2"/>
    </row>
    <row r="33" spans="1:33" ht="54" customHeight="1" x14ac:dyDescent="0.25">
      <c r="A33" s="9"/>
      <c r="B33" s="451" t="s">
        <v>575</v>
      </c>
      <c r="C33" s="1014">
        <v>0</v>
      </c>
      <c r="D33" s="1014">
        <v>0</v>
      </c>
      <c r="E33" s="1012">
        <v>0</v>
      </c>
      <c r="F33" s="1013">
        <v>1</v>
      </c>
      <c r="G33" s="457">
        <v>0</v>
      </c>
      <c r="H33" s="1014">
        <v>0</v>
      </c>
      <c r="I33" s="1012">
        <v>0</v>
      </c>
      <c r="J33" s="1013">
        <v>1</v>
      </c>
      <c r="K33" s="457">
        <v>0</v>
      </c>
      <c r="L33" s="1014">
        <v>0</v>
      </c>
      <c r="M33" s="1012" t="s">
        <v>16</v>
      </c>
      <c r="N33" s="1015" t="s">
        <v>16</v>
      </c>
      <c r="O33" s="457">
        <v>0</v>
      </c>
      <c r="P33" s="1014">
        <v>0</v>
      </c>
      <c r="Q33" s="1012" t="s">
        <v>16</v>
      </c>
      <c r="R33" s="1015" t="s">
        <v>16</v>
      </c>
      <c r="S33" s="1016">
        <v>0</v>
      </c>
      <c r="T33" s="1017">
        <v>0</v>
      </c>
      <c r="U33" s="1018">
        <v>0</v>
      </c>
      <c r="V33" s="1021">
        <v>1</v>
      </c>
      <c r="W33" s="457">
        <v>0</v>
      </c>
      <c r="X33" s="1014">
        <v>0</v>
      </c>
      <c r="Y33" s="1019">
        <v>0</v>
      </c>
      <c r="Z33" s="1013">
        <v>1</v>
      </c>
      <c r="AA33" s="457">
        <f>'приложение 7'!B44</f>
        <v>0</v>
      </c>
      <c r="AB33" s="1012">
        <v>0</v>
      </c>
      <c r="AC33" s="1015">
        <v>1</v>
      </c>
      <c r="AD33" s="463">
        <v>0</v>
      </c>
      <c r="AE33" s="1020"/>
      <c r="AF33" s="1020"/>
      <c r="AG33" s="2"/>
    </row>
    <row r="34" spans="1:33" ht="42" customHeight="1" x14ac:dyDescent="0.25">
      <c r="A34" s="9"/>
      <c r="B34" s="451" t="s">
        <v>576</v>
      </c>
      <c r="C34" s="1014">
        <v>0</v>
      </c>
      <c r="D34" s="1014">
        <v>0</v>
      </c>
      <c r="E34" s="1012">
        <v>0</v>
      </c>
      <c r="F34" s="1013">
        <v>1</v>
      </c>
      <c r="G34" s="457">
        <v>0</v>
      </c>
      <c r="H34" s="1014">
        <v>0</v>
      </c>
      <c r="I34" s="1012">
        <v>0</v>
      </c>
      <c r="J34" s="1013">
        <v>1</v>
      </c>
      <c r="K34" s="457">
        <v>0</v>
      </c>
      <c r="L34" s="1014">
        <v>0</v>
      </c>
      <c r="M34" s="1012" t="s">
        <v>16</v>
      </c>
      <c r="N34" s="1015" t="s">
        <v>16</v>
      </c>
      <c r="O34" s="457">
        <v>0</v>
      </c>
      <c r="P34" s="1014">
        <v>0</v>
      </c>
      <c r="Q34" s="1012" t="s">
        <v>16</v>
      </c>
      <c r="R34" s="1015" t="s">
        <v>16</v>
      </c>
      <c r="S34" s="1016">
        <v>87.09</v>
      </c>
      <c r="T34" s="1017">
        <v>87.09</v>
      </c>
      <c r="U34" s="1018">
        <v>100</v>
      </c>
      <c r="V34" s="1013">
        <f>1-(U34-50)/50</f>
        <v>0</v>
      </c>
      <c r="W34" s="457">
        <v>3</v>
      </c>
      <c r="X34" s="1014">
        <v>3</v>
      </c>
      <c r="Y34" s="1019">
        <v>100</v>
      </c>
      <c r="Z34" s="1013">
        <f>1-(Y34-50)/50</f>
        <v>0</v>
      </c>
      <c r="AA34" s="457">
        <f>'приложение 7'!B45</f>
        <v>0</v>
      </c>
      <c r="AB34" s="1012">
        <v>0</v>
      </c>
      <c r="AC34" s="1015">
        <v>1</v>
      </c>
      <c r="AD34" s="463">
        <v>87.09</v>
      </c>
      <c r="AE34" s="1020"/>
      <c r="AF34" s="1020"/>
      <c r="AG34" s="2"/>
    </row>
    <row r="35" spans="1:33" ht="60" customHeight="1" x14ac:dyDescent="0.25">
      <c r="A35" s="9"/>
      <c r="B35" s="451" t="s">
        <v>577</v>
      </c>
      <c r="C35" s="1014">
        <v>0</v>
      </c>
      <c r="D35" s="1014">
        <v>0</v>
      </c>
      <c r="E35" s="1012">
        <v>0</v>
      </c>
      <c r="F35" s="1013">
        <v>1</v>
      </c>
      <c r="G35" s="457">
        <v>0</v>
      </c>
      <c r="H35" s="1014">
        <v>0</v>
      </c>
      <c r="I35" s="1012">
        <v>0</v>
      </c>
      <c r="J35" s="1013">
        <v>1</v>
      </c>
      <c r="K35" s="457">
        <v>0</v>
      </c>
      <c r="L35" s="1014">
        <v>0</v>
      </c>
      <c r="M35" s="1012" t="s">
        <v>16</v>
      </c>
      <c r="N35" s="1015" t="s">
        <v>16</v>
      </c>
      <c r="O35" s="457">
        <v>0</v>
      </c>
      <c r="P35" s="1014">
        <v>0</v>
      </c>
      <c r="Q35" s="1012" t="s">
        <v>16</v>
      </c>
      <c r="R35" s="1015" t="s">
        <v>16</v>
      </c>
      <c r="S35" s="1016">
        <v>0</v>
      </c>
      <c r="T35" s="1017">
        <v>0</v>
      </c>
      <c r="U35" s="1018">
        <v>0</v>
      </c>
      <c r="V35" s="1021">
        <v>1</v>
      </c>
      <c r="W35" s="457">
        <v>0</v>
      </c>
      <c r="X35" s="1014">
        <v>0</v>
      </c>
      <c r="Y35" s="1019">
        <v>0</v>
      </c>
      <c r="Z35" s="1013">
        <v>1</v>
      </c>
      <c r="AA35" s="457">
        <f>'приложение 7'!B46</f>
        <v>0</v>
      </c>
      <c r="AB35" s="1012">
        <v>0</v>
      </c>
      <c r="AC35" s="1015">
        <v>1</v>
      </c>
      <c r="AD35" s="463">
        <v>0</v>
      </c>
      <c r="AE35" s="1020"/>
      <c r="AF35" s="1020"/>
      <c r="AG35" s="2"/>
    </row>
    <row r="36" spans="1:33" ht="47.25" x14ac:dyDescent="0.25">
      <c r="A36" s="9"/>
      <c r="B36" s="451" t="s">
        <v>578</v>
      </c>
      <c r="C36" s="1014">
        <v>0</v>
      </c>
      <c r="D36" s="1014">
        <v>0</v>
      </c>
      <c r="E36" s="1012">
        <v>0</v>
      </c>
      <c r="F36" s="1013">
        <v>1</v>
      </c>
      <c r="G36" s="457">
        <v>0</v>
      </c>
      <c r="H36" s="1014">
        <v>0</v>
      </c>
      <c r="I36" s="1012">
        <v>0</v>
      </c>
      <c r="J36" s="1013">
        <v>1</v>
      </c>
      <c r="K36" s="457">
        <v>0</v>
      </c>
      <c r="L36" s="1014">
        <v>0</v>
      </c>
      <c r="M36" s="1012" t="s">
        <v>16</v>
      </c>
      <c r="N36" s="1015" t="s">
        <v>16</v>
      </c>
      <c r="O36" s="457">
        <v>0</v>
      </c>
      <c r="P36" s="1014">
        <v>0</v>
      </c>
      <c r="Q36" s="1012" t="s">
        <v>16</v>
      </c>
      <c r="R36" s="1015" t="s">
        <v>16</v>
      </c>
      <c r="S36" s="1016">
        <v>0</v>
      </c>
      <c r="T36" s="1017">
        <v>0</v>
      </c>
      <c r="U36" s="1018">
        <v>0</v>
      </c>
      <c r="V36" s="1013">
        <v>1</v>
      </c>
      <c r="W36" s="457">
        <v>0</v>
      </c>
      <c r="X36" s="1014">
        <v>0</v>
      </c>
      <c r="Y36" s="1019">
        <v>0</v>
      </c>
      <c r="Z36" s="1013">
        <v>1</v>
      </c>
      <c r="AA36" s="457">
        <f>'приложение 7'!B49</f>
        <v>0</v>
      </c>
      <c r="AB36" s="1012">
        <v>0</v>
      </c>
      <c r="AC36" s="1015">
        <v>1</v>
      </c>
      <c r="AD36" s="463">
        <v>0</v>
      </c>
      <c r="AE36" s="1020"/>
      <c r="AF36" s="1020"/>
      <c r="AG36" s="2"/>
    </row>
    <row r="37" spans="1:33" ht="47.25" x14ac:dyDescent="0.25">
      <c r="A37" s="9"/>
      <c r="B37" s="451" t="s">
        <v>579</v>
      </c>
      <c r="C37" s="1014">
        <v>0</v>
      </c>
      <c r="D37" s="1014">
        <v>0</v>
      </c>
      <c r="E37" s="1012">
        <v>0</v>
      </c>
      <c r="F37" s="1013">
        <v>1</v>
      </c>
      <c r="G37" s="457">
        <v>0</v>
      </c>
      <c r="H37" s="1014">
        <v>0</v>
      </c>
      <c r="I37" s="1012">
        <v>0</v>
      </c>
      <c r="J37" s="1013">
        <v>1</v>
      </c>
      <c r="K37" s="457">
        <v>0</v>
      </c>
      <c r="L37" s="1014">
        <v>0</v>
      </c>
      <c r="M37" s="1012" t="s">
        <v>16</v>
      </c>
      <c r="N37" s="1015" t="s">
        <v>16</v>
      </c>
      <c r="O37" s="457">
        <v>0</v>
      </c>
      <c r="P37" s="1014">
        <v>0</v>
      </c>
      <c r="Q37" s="1012" t="s">
        <v>16</v>
      </c>
      <c r="R37" s="1015" t="s">
        <v>16</v>
      </c>
      <c r="S37" s="1016">
        <v>0</v>
      </c>
      <c r="T37" s="1017">
        <v>0</v>
      </c>
      <c r="U37" s="1018">
        <v>0</v>
      </c>
      <c r="V37" s="1021">
        <v>1</v>
      </c>
      <c r="W37" s="457">
        <v>0</v>
      </c>
      <c r="X37" s="1014">
        <v>0</v>
      </c>
      <c r="Y37" s="1019">
        <v>0</v>
      </c>
      <c r="Z37" s="1013">
        <v>1</v>
      </c>
      <c r="AA37" s="457">
        <f>'приложение 7'!B47</f>
        <v>0</v>
      </c>
      <c r="AB37" s="1012">
        <v>0</v>
      </c>
      <c r="AC37" s="1015">
        <v>1</v>
      </c>
      <c r="AD37" s="463">
        <v>0</v>
      </c>
      <c r="AE37" s="1020"/>
      <c r="AF37" s="1020"/>
      <c r="AG37" s="2"/>
    </row>
    <row r="38" spans="1:33" ht="47.25" x14ac:dyDescent="0.25">
      <c r="A38" s="9"/>
      <c r="B38" s="451" t="s">
        <v>580</v>
      </c>
      <c r="C38" s="1014">
        <v>0</v>
      </c>
      <c r="D38" s="1014">
        <v>0</v>
      </c>
      <c r="E38" s="1012">
        <v>0</v>
      </c>
      <c r="F38" s="1013">
        <v>1</v>
      </c>
      <c r="G38" s="457">
        <v>0</v>
      </c>
      <c r="H38" s="1014">
        <v>0</v>
      </c>
      <c r="I38" s="1012">
        <v>0</v>
      </c>
      <c r="J38" s="1013">
        <v>1</v>
      </c>
      <c r="K38" s="457">
        <v>0</v>
      </c>
      <c r="L38" s="1014">
        <v>0</v>
      </c>
      <c r="M38" s="1012" t="s">
        <v>16</v>
      </c>
      <c r="N38" s="1015" t="s">
        <v>16</v>
      </c>
      <c r="O38" s="457">
        <v>0</v>
      </c>
      <c r="P38" s="1014">
        <v>0</v>
      </c>
      <c r="Q38" s="1012" t="s">
        <v>16</v>
      </c>
      <c r="R38" s="1015" t="s">
        <v>16</v>
      </c>
      <c r="S38" s="1016">
        <v>0</v>
      </c>
      <c r="T38" s="1017">
        <v>0</v>
      </c>
      <c r="U38" s="1018">
        <v>0</v>
      </c>
      <c r="V38" s="1013">
        <v>1</v>
      </c>
      <c r="W38" s="457">
        <v>0</v>
      </c>
      <c r="X38" s="1014">
        <v>0</v>
      </c>
      <c r="Y38" s="1019">
        <v>0</v>
      </c>
      <c r="Z38" s="1013">
        <v>1</v>
      </c>
      <c r="AA38" s="457">
        <f>'приложение 7'!B48</f>
        <v>0</v>
      </c>
      <c r="AB38" s="1012">
        <v>0</v>
      </c>
      <c r="AC38" s="1015">
        <v>1</v>
      </c>
      <c r="AD38" s="463">
        <v>0</v>
      </c>
      <c r="AE38" s="1020"/>
      <c r="AF38" s="1020"/>
      <c r="AG38" s="2"/>
    </row>
    <row r="39" spans="1:33" ht="15.75" thickBot="1" x14ac:dyDescent="0.3">
      <c r="A39" s="9"/>
      <c r="B39" s="1024" t="s">
        <v>581</v>
      </c>
      <c r="C39" s="1025">
        <f>SUM(C9:C38)</f>
        <v>80432.639999999999</v>
      </c>
      <c r="D39" s="1025">
        <f>SUM(D9:D38)</f>
        <v>80432.639999999999</v>
      </c>
      <c r="E39" s="1026"/>
      <c r="F39" s="1027"/>
      <c r="G39" s="1028"/>
      <c r="H39" s="9"/>
      <c r="I39" s="1026"/>
      <c r="J39" s="1027"/>
      <c r="K39" s="1028"/>
      <c r="L39" s="9"/>
      <c r="M39" s="1026"/>
      <c r="N39" s="1027"/>
      <c r="O39" s="1028"/>
      <c r="P39" s="9"/>
      <c r="Q39" s="1026"/>
      <c r="R39" s="1027"/>
      <c r="S39" s="1016">
        <f>SUM(S9:S38)</f>
        <v>417.82000000000005</v>
      </c>
      <c r="T39" s="1017">
        <f>SUM(T9:T38)</f>
        <v>417.82000000000005</v>
      </c>
      <c r="U39" s="1029"/>
      <c r="V39" s="1030"/>
      <c r="W39" s="1028"/>
      <c r="X39" s="9"/>
      <c r="Y39" s="1026"/>
      <c r="Z39" s="1027"/>
      <c r="AA39" s="1028"/>
      <c r="AB39" s="1026"/>
      <c r="AC39" s="1027"/>
      <c r="AD39" s="464">
        <f>SUM(AD9:AD38)</f>
        <v>80850.460000000006</v>
      </c>
      <c r="AE39" s="9"/>
      <c r="AF39" s="9"/>
      <c r="AG39" s="2"/>
    </row>
    <row r="40" spans="1:33" x14ac:dyDescent="0.2">
      <c r="A40" s="2"/>
      <c r="B40" s="2"/>
      <c r="C40" s="2"/>
      <c r="D40" s="2"/>
      <c r="E40" s="2"/>
      <c r="F40" s="1031" t="s">
        <v>583</v>
      </c>
      <c r="G40" s="2"/>
      <c r="H40" s="2"/>
      <c r="I40" s="2"/>
      <c r="J40" s="1031" t="s">
        <v>584</v>
      </c>
      <c r="K40" s="2"/>
      <c r="L40" s="2"/>
      <c r="M40" s="2"/>
      <c r="N40" s="1031" t="s">
        <v>585</v>
      </c>
      <c r="O40" s="2"/>
      <c r="P40" s="2"/>
      <c r="Q40" s="2"/>
      <c r="R40" s="1031" t="s">
        <v>586</v>
      </c>
      <c r="S40" s="2"/>
      <c r="T40" s="2"/>
      <c r="U40" s="2"/>
      <c r="V40" s="1031" t="s">
        <v>587</v>
      </c>
      <c r="W40" s="2"/>
      <c r="X40" s="2"/>
      <c r="Y40" s="2"/>
      <c r="Z40" s="1031" t="s">
        <v>588</v>
      </c>
      <c r="AA40" s="2"/>
      <c r="AB40" s="2"/>
      <c r="AC40" s="1031" t="s">
        <v>589</v>
      </c>
      <c r="AD40" s="2"/>
      <c r="AE40" s="2"/>
      <c r="AF40" s="2"/>
      <c r="AG40" s="2"/>
    </row>
    <row r="41" spans="1:33" x14ac:dyDescent="0.2">
      <c r="A41" s="745" t="s">
        <v>582</v>
      </c>
      <c r="B41" s="745"/>
      <c r="C41" s="745"/>
      <c r="D41" s="745"/>
      <c r="E41" s="745"/>
      <c r="F41" s="745"/>
      <c r="G41" s="745"/>
      <c r="H41" s="745"/>
      <c r="I41" s="745"/>
      <c r="J41" s="745"/>
      <c r="K41" s="745"/>
      <c r="L41" s="745"/>
      <c r="M41" s="2"/>
      <c r="N41" s="2"/>
      <c r="O41" s="2"/>
      <c r="P41" s="2"/>
      <c r="Q41" s="2"/>
      <c r="R41" s="2"/>
      <c r="S41" s="2"/>
      <c r="T41" s="2"/>
      <c r="U41" s="2"/>
      <c r="V41" s="2"/>
      <c r="W41" s="2"/>
      <c r="X41" s="2"/>
      <c r="Y41" s="2"/>
      <c r="Z41" s="2"/>
      <c r="AA41" s="2"/>
      <c r="AB41" s="2"/>
      <c r="AC41" s="2"/>
      <c r="AD41" s="2"/>
      <c r="AE41" s="2"/>
      <c r="AF41" s="2"/>
      <c r="AG41" s="2"/>
    </row>
  </sheetData>
  <mergeCells count="12">
    <mergeCell ref="A41:L41"/>
    <mergeCell ref="AD6:AF6"/>
    <mergeCell ref="A5:A7"/>
    <mergeCell ref="B5:B7"/>
    <mergeCell ref="C5:AF5"/>
    <mergeCell ref="C6:F6"/>
    <mergeCell ref="G6:J6"/>
    <mergeCell ref="K6:N6"/>
    <mergeCell ref="O6:R6"/>
    <mergeCell ref="S6:V6"/>
    <mergeCell ref="W6:Z6"/>
    <mergeCell ref="AA6:AC6"/>
  </mergeCells>
  <pageMargins left="0.70866141732283472" right="0.70866141732283472" top="0.74803149606299213" bottom="0.74803149606299213"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113"/>
  <sheetViews>
    <sheetView zoomScale="60" zoomScaleNormal="60" workbookViewId="0">
      <pane ySplit="1" topLeftCell="A75" activePane="bottomLeft" state="frozen"/>
      <selection pane="bottomLeft" activeCell="A33" sqref="A33:F114"/>
    </sheetView>
  </sheetViews>
  <sheetFormatPr defaultColWidth="8.85546875" defaultRowHeight="12.75" x14ac:dyDescent="0.2"/>
  <cols>
    <col min="1" max="1" width="39.85546875" style="2" customWidth="1"/>
    <col min="2" max="2" width="16.7109375" style="2" customWidth="1"/>
    <col min="3" max="3" width="17.28515625" style="2" customWidth="1"/>
    <col min="4" max="4" width="7.5703125" style="2" hidden="1" customWidth="1"/>
    <col min="5" max="5" width="14" style="2" customWidth="1"/>
    <col min="6" max="6" width="12.5703125" style="2" customWidth="1"/>
    <col min="7" max="7" width="13.28515625" style="2" bestFit="1" customWidth="1"/>
    <col min="8" max="8" width="12.28515625" style="2" customWidth="1"/>
    <col min="9" max="9" width="13.140625" style="2" customWidth="1"/>
    <col min="10" max="10" width="9.42578125" style="2" customWidth="1"/>
    <col min="11" max="11" width="10" style="2" customWidth="1"/>
    <col min="12" max="12" width="9.140625" style="2" customWidth="1"/>
    <col min="13" max="13" width="14.140625" style="2" customWidth="1"/>
    <col min="14" max="14" width="12.5703125" style="2" customWidth="1"/>
    <col min="15" max="15" width="10.85546875" style="2" customWidth="1"/>
    <col min="16" max="16" width="11.42578125" style="2" customWidth="1"/>
    <col min="17" max="17" width="9" style="2" customWidth="1"/>
    <col min="18" max="18" width="16" style="2" customWidth="1"/>
    <col min="19" max="19" width="18.42578125" style="2" customWidth="1"/>
    <col min="20" max="20" width="19" style="2" customWidth="1"/>
    <col min="21" max="21" width="17.5703125" style="2" customWidth="1"/>
    <col min="22" max="22" width="14.85546875" style="2" customWidth="1"/>
    <col min="23" max="23" width="15" style="2" customWidth="1"/>
    <col min="24" max="24" width="16.140625" style="2" customWidth="1"/>
    <col min="25" max="25" width="13.85546875" style="2" customWidth="1"/>
    <col min="26" max="26" width="21.5703125" style="2" customWidth="1"/>
    <col min="27" max="27" width="17.140625" style="2" customWidth="1"/>
    <col min="28" max="28" width="18.28515625" style="2" customWidth="1"/>
    <col min="29" max="29" width="18" style="2" customWidth="1"/>
    <col min="30" max="30" width="16.28515625" style="2" customWidth="1"/>
    <col min="31" max="31" width="15.5703125" style="2" customWidth="1"/>
    <col min="32" max="32" width="16.85546875" style="2" customWidth="1"/>
    <col min="33" max="33" width="16.28515625" style="2" customWidth="1"/>
    <col min="34" max="34" width="17.140625" style="2" customWidth="1"/>
    <col min="35" max="35" width="45" style="2" customWidth="1"/>
    <col min="36" max="16384" width="8.85546875" style="2"/>
  </cols>
  <sheetData>
    <row r="2" spans="1:36" ht="45.95" customHeight="1" x14ac:dyDescent="0.2">
      <c r="A2" s="661" t="s">
        <v>137</v>
      </c>
      <c r="B2" s="661"/>
      <c r="C2" s="661"/>
      <c r="D2" s="661"/>
      <c r="E2" s="661"/>
      <c r="F2" s="661"/>
      <c r="G2" s="661"/>
      <c r="H2" s="661"/>
      <c r="I2" s="661"/>
      <c r="J2" s="661"/>
      <c r="K2" s="661"/>
      <c r="L2" s="661"/>
      <c r="M2" s="661"/>
      <c r="N2" s="661"/>
      <c r="O2" s="661"/>
      <c r="P2" s="661"/>
      <c r="Q2" s="661"/>
      <c r="R2" s="661"/>
      <c r="S2" s="661"/>
      <c r="T2" s="661"/>
      <c r="U2" s="661"/>
      <c r="V2" s="661"/>
      <c r="W2" s="661"/>
      <c r="X2" s="661"/>
      <c r="Y2" s="661"/>
      <c r="Z2" s="661"/>
      <c r="AA2" s="661"/>
      <c r="AB2" s="661"/>
      <c r="AC2" s="661"/>
      <c r="AD2" s="661"/>
      <c r="AE2" s="661"/>
      <c r="AF2" s="661"/>
      <c r="AG2" s="661"/>
      <c r="AH2" s="661"/>
      <c r="AI2" s="661"/>
    </row>
    <row r="3" spans="1:36" ht="15" x14ac:dyDescent="0.25">
      <c r="A3" s="662" t="s">
        <v>458</v>
      </c>
      <c r="B3" s="662"/>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c r="AE3" s="662"/>
      <c r="AF3" s="662"/>
      <c r="AG3" s="662"/>
      <c r="AH3" s="662"/>
      <c r="AI3" s="662"/>
      <c r="AJ3" s="163"/>
    </row>
    <row r="4" spans="1:36" ht="17.25" customHeight="1" x14ac:dyDescent="0.2">
      <c r="A4" s="663" t="s">
        <v>0</v>
      </c>
      <c r="B4" s="663" t="s">
        <v>1</v>
      </c>
      <c r="C4" s="663" t="s">
        <v>2</v>
      </c>
      <c r="D4" s="665" t="s">
        <v>365</v>
      </c>
      <c r="E4" s="666"/>
      <c r="F4" s="666"/>
      <c r="G4" s="666"/>
      <c r="H4" s="666"/>
      <c r="I4" s="666"/>
      <c r="J4" s="666"/>
      <c r="K4" s="666"/>
      <c r="L4" s="666"/>
      <c r="M4" s="666"/>
      <c r="N4" s="666"/>
      <c r="O4" s="666"/>
      <c r="P4" s="666"/>
      <c r="Q4" s="666"/>
      <c r="R4" s="666"/>
      <c r="S4" s="666"/>
      <c r="T4" s="666"/>
      <c r="U4" s="666"/>
      <c r="V4" s="666"/>
      <c r="W4" s="666"/>
      <c r="X4" s="666"/>
      <c r="Y4" s="666"/>
      <c r="Z4" s="666"/>
      <c r="AA4" s="666"/>
      <c r="AB4" s="666"/>
      <c r="AC4" s="666"/>
      <c r="AD4" s="666"/>
      <c r="AE4" s="666"/>
      <c r="AF4" s="666"/>
      <c r="AG4" s="666"/>
      <c r="AH4" s="667"/>
      <c r="AI4" s="642" t="s">
        <v>4</v>
      </c>
      <c r="AJ4" s="172"/>
    </row>
    <row r="5" spans="1:36" ht="135.75" thickBot="1" x14ac:dyDescent="0.25">
      <c r="A5" s="642"/>
      <c r="B5" s="642"/>
      <c r="C5" s="642"/>
      <c r="D5" s="164" t="s">
        <v>3</v>
      </c>
      <c r="E5" s="262" t="s">
        <v>268</v>
      </c>
      <c r="F5" s="231" t="s">
        <v>292</v>
      </c>
      <c r="G5" s="231" t="s">
        <v>291</v>
      </c>
      <c r="H5" s="221" t="s">
        <v>271</v>
      </c>
      <c r="I5" s="231" t="s">
        <v>320</v>
      </c>
      <c r="J5" s="264" t="s">
        <v>293</v>
      </c>
      <c r="K5" s="265" t="s">
        <v>294</v>
      </c>
      <c r="L5" s="231" t="s">
        <v>295</v>
      </c>
      <c r="M5" s="232" t="s">
        <v>290</v>
      </c>
      <c r="N5" s="221" t="s">
        <v>296</v>
      </c>
      <c r="O5" s="265" t="s">
        <v>282</v>
      </c>
      <c r="P5" s="232" t="s">
        <v>297</v>
      </c>
      <c r="Q5" s="221" t="s">
        <v>283</v>
      </c>
      <c r="R5" s="221" t="s">
        <v>298</v>
      </c>
      <c r="S5" s="221" t="s">
        <v>281</v>
      </c>
      <c r="T5" s="231" t="s">
        <v>299</v>
      </c>
      <c r="U5" s="221" t="s">
        <v>269</v>
      </c>
      <c r="V5" s="221" t="s">
        <v>286</v>
      </c>
      <c r="W5" s="231" t="s">
        <v>300</v>
      </c>
      <c r="X5" s="221" t="s">
        <v>270</v>
      </c>
      <c r="Y5" s="221" t="s">
        <v>274</v>
      </c>
      <c r="Z5" s="231" t="s">
        <v>301</v>
      </c>
      <c r="AA5" s="221" t="s">
        <v>275</v>
      </c>
      <c r="AB5" s="221" t="s">
        <v>276</v>
      </c>
      <c r="AC5" s="221" t="s">
        <v>277</v>
      </c>
      <c r="AD5" s="221" t="s">
        <v>278</v>
      </c>
      <c r="AE5" s="221" t="s">
        <v>279</v>
      </c>
      <c r="AF5" s="221" t="s">
        <v>280</v>
      </c>
      <c r="AG5" s="221" t="s">
        <v>272</v>
      </c>
      <c r="AH5" s="262" t="s">
        <v>273</v>
      </c>
      <c r="AI5" s="664"/>
      <c r="AJ5" s="172"/>
    </row>
    <row r="6" spans="1:36" ht="21" customHeight="1" thickBot="1" x14ac:dyDescent="0.25">
      <c r="A6" s="652" t="s">
        <v>8</v>
      </c>
      <c r="B6" s="653"/>
      <c r="C6" s="165"/>
      <c r="D6" s="166"/>
      <c r="E6" s="210"/>
      <c r="F6" s="210"/>
      <c r="G6" s="210"/>
      <c r="H6" s="210"/>
      <c r="I6" s="210"/>
      <c r="J6" s="211"/>
      <c r="K6" s="211"/>
      <c r="L6" s="210"/>
      <c r="M6" s="210"/>
      <c r="N6" s="320"/>
      <c r="O6" s="321"/>
      <c r="P6" s="169"/>
      <c r="Q6" s="169"/>
      <c r="R6" s="169"/>
      <c r="S6" s="169"/>
      <c r="T6" s="169"/>
      <c r="U6" s="169"/>
      <c r="V6" s="169"/>
      <c r="W6" s="169"/>
      <c r="X6" s="169"/>
      <c r="Y6" s="169"/>
      <c r="Z6" s="169"/>
      <c r="AA6" s="169"/>
      <c r="AB6" s="169"/>
      <c r="AC6" s="169"/>
      <c r="AD6" s="169"/>
      <c r="AE6" s="169"/>
      <c r="AF6" s="169"/>
      <c r="AG6" s="169"/>
      <c r="AH6" s="169"/>
      <c r="AI6" s="167"/>
      <c r="AJ6" s="172"/>
    </row>
    <row r="7" spans="1:36" ht="54.6" customHeight="1" x14ac:dyDescent="0.2">
      <c r="A7" s="557" t="s">
        <v>111</v>
      </c>
      <c r="B7" s="499"/>
      <c r="C7" s="499"/>
      <c r="D7" s="654" t="s">
        <v>14</v>
      </c>
      <c r="E7" s="497">
        <v>1</v>
      </c>
      <c r="F7" s="558">
        <v>1</v>
      </c>
      <c r="G7" s="499">
        <v>1</v>
      </c>
      <c r="H7" s="499">
        <v>1</v>
      </c>
      <c r="I7" s="219" t="s">
        <v>468</v>
      </c>
      <c r="J7" s="499">
        <v>1</v>
      </c>
      <c r="K7" s="499">
        <v>1</v>
      </c>
      <c r="L7" s="499">
        <v>1</v>
      </c>
      <c r="M7" s="499">
        <v>1</v>
      </c>
      <c r="N7" s="499">
        <v>1</v>
      </c>
      <c r="O7" s="497">
        <v>1</v>
      </c>
      <c r="P7" s="497">
        <v>1</v>
      </c>
      <c r="Q7" s="497">
        <v>1</v>
      </c>
      <c r="R7" s="497">
        <v>1</v>
      </c>
      <c r="S7" s="497">
        <v>1</v>
      </c>
      <c r="T7" s="497">
        <v>1</v>
      </c>
      <c r="U7" s="497">
        <v>1</v>
      </c>
      <c r="V7" s="497">
        <v>1</v>
      </c>
      <c r="W7" s="497">
        <v>1</v>
      </c>
      <c r="X7" s="497">
        <v>1</v>
      </c>
      <c r="Y7" s="219" t="s">
        <v>468</v>
      </c>
      <c r="Z7" s="497">
        <v>1</v>
      </c>
      <c r="AA7" s="497">
        <v>1</v>
      </c>
      <c r="AB7" s="417">
        <v>1</v>
      </c>
      <c r="AC7" s="417">
        <v>1</v>
      </c>
      <c r="AD7" s="497">
        <v>1</v>
      </c>
      <c r="AE7" s="497">
        <v>1</v>
      </c>
      <c r="AF7" s="497">
        <v>1</v>
      </c>
      <c r="AG7" s="497">
        <v>1</v>
      </c>
      <c r="AH7" s="497">
        <v>1</v>
      </c>
      <c r="AI7" s="643" t="s">
        <v>467</v>
      </c>
      <c r="AJ7" s="172"/>
    </row>
    <row r="8" spans="1:36" ht="47.25" customHeight="1" x14ac:dyDescent="0.2">
      <c r="A8" s="655" t="s">
        <v>490</v>
      </c>
      <c r="B8" s="656"/>
      <c r="C8" s="657"/>
      <c r="D8" s="643"/>
      <c r="E8" s="498" t="s">
        <v>211</v>
      </c>
      <c r="F8" s="559" t="s">
        <v>15</v>
      </c>
      <c r="G8" s="559" t="s">
        <v>15</v>
      </c>
      <c r="H8" s="559" t="s">
        <v>15</v>
      </c>
      <c r="I8" s="219" t="s">
        <v>468</v>
      </c>
      <c r="J8" s="559" t="s">
        <v>15</v>
      </c>
      <c r="K8" s="559" t="s">
        <v>211</v>
      </c>
      <c r="L8" s="559" t="s">
        <v>15</v>
      </c>
      <c r="M8" s="559" t="s">
        <v>15</v>
      </c>
      <c r="N8" s="559" t="s">
        <v>15</v>
      </c>
      <c r="O8" s="559" t="s">
        <v>15</v>
      </c>
      <c r="P8" s="559" t="s">
        <v>15</v>
      </c>
      <c r="Q8" s="559" t="s">
        <v>15</v>
      </c>
      <c r="R8" s="559" t="s">
        <v>15</v>
      </c>
      <c r="S8" s="559" t="s">
        <v>15</v>
      </c>
      <c r="T8" s="559" t="s">
        <v>15</v>
      </c>
      <c r="U8" s="559" t="s">
        <v>15</v>
      </c>
      <c r="V8" s="559" t="s">
        <v>15</v>
      </c>
      <c r="W8" s="559" t="s">
        <v>15</v>
      </c>
      <c r="X8" s="559" t="s">
        <v>15</v>
      </c>
      <c r="Y8" s="219" t="s">
        <v>468</v>
      </c>
      <c r="Z8" s="559" t="s">
        <v>15</v>
      </c>
      <c r="AA8" s="559" t="s">
        <v>15</v>
      </c>
      <c r="AB8" s="498" t="s">
        <v>211</v>
      </c>
      <c r="AC8" s="498" t="s">
        <v>211</v>
      </c>
      <c r="AD8" s="559" t="s">
        <v>15</v>
      </c>
      <c r="AE8" s="559" t="s">
        <v>15</v>
      </c>
      <c r="AF8" s="559" t="s">
        <v>15</v>
      </c>
      <c r="AG8" s="559" t="s">
        <v>15</v>
      </c>
      <c r="AH8" s="559" t="s">
        <v>15</v>
      </c>
      <c r="AI8" s="643"/>
      <c r="AJ8" s="172"/>
    </row>
    <row r="9" spans="1:36" ht="128.25" customHeight="1" x14ac:dyDescent="0.2">
      <c r="A9" s="658" t="s">
        <v>484</v>
      </c>
      <c r="B9" s="659"/>
      <c r="C9" s="660"/>
      <c r="D9" s="643"/>
      <c r="E9" s="497" t="s">
        <v>211</v>
      </c>
      <c r="F9" s="560" t="s">
        <v>15</v>
      </c>
      <c r="G9" s="560" t="s">
        <v>15</v>
      </c>
      <c r="H9" s="560" t="s">
        <v>15</v>
      </c>
      <c r="I9" s="545" t="s">
        <v>468</v>
      </c>
      <c r="J9" s="560" t="s">
        <v>15</v>
      </c>
      <c r="K9" s="560" t="s">
        <v>211</v>
      </c>
      <c r="L9" s="560" t="s">
        <v>15</v>
      </c>
      <c r="M9" s="560" t="s">
        <v>15</v>
      </c>
      <c r="N9" s="560" t="s">
        <v>15</v>
      </c>
      <c r="O9" s="560" t="s">
        <v>15</v>
      </c>
      <c r="P9" s="560" t="s">
        <v>15</v>
      </c>
      <c r="Q9" s="560" t="s">
        <v>15</v>
      </c>
      <c r="R9" s="560" t="s">
        <v>15</v>
      </c>
      <c r="S9" s="560" t="s">
        <v>15</v>
      </c>
      <c r="T9" s="560" t="s">
        <v>15</v>
      </c>
      <c r="U9" s="560" t="s">
        <v>15</v>
      </c>
      <c r="V9" s="560" t="s">
        <v>15</v>
      </c>
      <c r="W9" s="560" t="s">
        <v>15</v>
      </c>
      <c r="X9" s="560" t="s">
        <v>15</v>
      </c>
      <c r="Y9" s="219" t="s">
        <v>468</v>
      </c>
      <c r="Z9" s="560" t="s">
        <v>15</v>
      </c>
      <c r="AA9" s="560" t="s">
        <v>15</v>
      </c>
      <c r="AB9" s="499" t="s">
        <v>211</v>
      </c>
      <c r="AC9" s="499" t="s">
        <v>211</v>
      </c>
      <c r="AD9" s="560" t="s">
        <v>15</v>
      </c>
      <c r="AE9" s="560" t="s">
        <v>15</v>
      </c>
      <c r="AF9" s="560" t="s">
        <v>15</v>
      </c>
      <c r="AG9" s="560" t="s">
        <v>15</v>
      </c>
      <c r="AH9" s="560" t="s">
        <v>15</v>
      </c>
      <c r="AI9" s="643"/>
      <c r="AJ9" s="172"/>
    </row>
    <row r="10" spans="1:36" ht="15" x14ac:dyDescent="0.2">
      <c r="A10" s="645" t="s">
        <v>9</v>
      </c>
      <c r="B10" s="646"/>
      <c r="C10" s="266"/>
      <c r="D10" s="263"/>
      <c r="E10" s="426"/>
      <c r="F10" s="427"/>
      <c r="G10" s="428"/>
      <c r="H10" s="168"/>
      <c r="I10" s="168"/>
      <c r="J10" s="168"/>
      <c r="K10" s="168"/>
      <c r="L10" s="168"/>
      <c r="M10" s="168"/>
      <c r="N10" s="168"/>
      <c r="O10" s="168"/>
      <c r="P10" s="263"/>
      <c r="Q10" s="263"/>
      <c r="R10" s="263"/>
      <c r="S10" s="263"/>
      <c r="T10" s="263"/>
      <c r="U10" s="263"/>
      <c r="V10" s="263"/>
      <c r="W10" s="263"/>
      <c r="X10" s="263"/>
      <c r="Y10" s="263"/>
      <c r="Z10" s="263"/>
      <c r="AA10" s="263"/>
      <c r="AB10" s="263"/>
      <c r="AC10" s="263"/>
      <c r="AD10" s="263"/>
      <c r="AE10" s="263"/>
      <c r="AF10" s="263"/>
      <c r="AG10" s="263"/>
      <c r="AH10" s="168"/>
      <c r="AI10" s="267"/>
      <c r="AJ10" s="172"/>
    </row>
    <row r="11" spans="1:36" ht="64.5" customHeight="1" x14ac:dyDescent="0.2">
      <c r="A11" s="429" t="s">
        <v>250</v>
      </c>
      <c r="B11" s="430"/>
      <c r="C11" s="429"/>
      <c r="D11" s="417"/>
      <c r="E11" s="417">
        <v>1</v>
      </c>
      <c r="F11" s="417">
        <v>1</v>
      </c>
      <c r="G11" s="417">
        <v>1</v>
      </c>
      <c r="H11" s="417">
        <v>1</v>
      </c>
      <c r="I11" s="417">
        <v>1</v>
      </c>
      <c r="J11" s="417">
        <v>1</v>
      </c>
      <c r="K11" s="417">
        <v>1</v>
      </c>
      <c r="L11" s="417">
        <v>1</v>
      </c>
      <c r="M11" s="417">
        <v>1</v>
      </c>
      <c r="N11" s="417">
        <v>1</v>
      </c>
      <c r="O11" s="417">
        <v>1</v>
      </c>
      <c r="P11" s="417">
        <v>1</v>
      </c>
      <c r="Q11" s="417">
        <v>1</v>
      </c>
      <c r="R11" s="417">
        <v>0</v>
      </c>
      <c r="S11" s="417">
        <v>1</v>
      </c>
      <c r="T11" s="417">
        <v>1</v>
      </c>
      <c r="U11" s="417">
        <v>1</v>
      </c>
      <c r="V11" s="417">
        <v>1</v>
      </c>
      <c r="W11" s="417">
        <v>1</v>
      </c>
      <c r="X11" s="417">
        <v>1</v>
      </c>
      <c r="Y11" s="417">
        <v>1</v>
      </c>
      <c r="Z11" s="417">
        <v>1</v>
      </c>
      <c r="AA11" s="417">
        <v>1</v>
      </c>
      <c r="AB11" s="417">
        <v>1</v>
      </c>
      <c r="AC11" s="417">
        <v>1</v>
      </c>
      <c r="AD11" s="417">
        <v>1</v>
      </c>
      <c r="AE11" s="417">
        <v>1</v>
      </c>
      <c r="AF11" s="417">
        <v>1</v>
      </c>
      <c r="AG11" s="417">
        <v>1</v>
      </c>
      <c r="AH11" s="417">
        <v>1</v>
      </c>
      <c r="AI11" s="643" t="s">
        <v>466</v>
      </c>
      <c r="AJ11" s="172"/>
    </row>
    <row r="12" spans="1:36" ht="89.65" customHeight="1" x14ac:dyDescent="0.2">
      <c r="A12" s="649" t="s">
        <v>257</v>
      </c>
      <c r="B12" s="650"/>
      <c r="C12" s="651"/>
      <c r="D12" s="417"/>
      <c r="E12" s="417" t="s">
        <v>166</v>
      </c>
      <c r="F12" s="417" t="s">
        <v>166</v>
      </c>
      <c r="G12" s="417" t="s">
        <v>166</v>
      </c>
      <c r="H12" s="417" t="s">
        <v>166</v>
      </c>
      <c r="I12" s="417" t="s">
        <v>166</v>
      </c>
      <c r="J12" s="417" t="s">
        <v>166</v>
      </c>
      <c r="K12" s="417" t="s">
        <v>166</v>
      </c>
      <c r="L12" s="417" t="s">
        <v>166</v>
      </c>
      <c r="M12" s="417" t="s">
        <v>166</v>
      </c>
      <c r="N12" s="417" t="s">
        <v>166</v>
      </c>
      <c r="O12" s="417" t="s">
        <v>166</v>
      </c>
      <c r="P12" s="417" t="s">
        <v>166</v>
      </c>
      <c r="Q12" s="417" t="s">
        <v>166</v>
      </c>
      <c r="R12" s="417" t="s">
        <v>483</v>
      </c>
      <c r="S12" s="417" t="s">
        <v>166</v>
      </c>
      <c r="T12" s="417" t="s">
        <v>166</v>
      </c>
      <c r="U12" s="417" t="s">
        <v>166</v>
      </c>
      <c r="V12" s="417" t="s">
        <v>166</v>
      </c>
      <c r="W12" s="417" t="s">
        <v>166</v>
      </c>
      <c r="X12" s="417" t="s">
        <v>166</v>
      </c>
      <c r="Y12" s="417" t="s">
        <v>166</v>
      </c>
      <c r="Z12" s="417" t="s">
        <v>166</v>
      </c>
      <c r="AA12" s="417" t="s">
        <v>166</v>
      </c>
      <c r="AB12" s="417" t="s">
        <v>166</v>
      </c>
      <c r="AC12" s="417" t="s">
        <v>166</v>
      </c>
      <c r="AD12" s="417" t="s">
        <v>166</v>
      </c>
      <c r="AE12" s="417" t="s">
        <v>166</v>
      </c>
      <c r="AF12" s="417" t="s">
        <v>166</v>
      </c>
      <c r="AG12" s="417" t="s">
        <v>166</v>
      </c>
      <c r="AH12" s="417" t="s">
        <v>166</v>
      </c>
      <c r="AI12" s="644"/>
      <c r="AJ12" s="172"/>
    </row>
    <row r="13" spans="1:36" ht="37.15" customHeight="1" x14ac:dyDescent="0.2">
      <c r="A13" s="647" t="s">
        <v>204</v>
      </c>
      <c r="B13" s="648"/>
      <c r="C13" s="168"/>
      <c r="D13" s="417"/>
      <c r="E13" s="417"/>
      <c r="F13" s="168"/>
      <c r="G13" s="168"/>
      <c r="H13" s="417"/>
      <c r="I13" s="168"/>
      <c r="J13" s="417"/>
      <c r="K13" s="417"/>
      <c r="L13" s="417"/>
      <c r="M13" s="417"/>
      <c r="N13" s="417"/>
      <c r="O13" s="498"/>
      <c r="P13" s="498"/>
      <c r="Q13" s="498"/>
      <c r="R13" s="498"/>
      <c r="S13" s="498"/>
      <c r="T13" s="498"/>
      <c r="U13" s="498"/>
      <c r="V13" s="498"/>
      <c r="W13" s="498"/>
      <c r="X13" s="498"/>
      <c r="Y13" s="498"/>
      <c r="Z13" s="498"/>
      <c r="AA13" s="498"/>
      <c r="AB13" s="498"/>
      <c r="AC13" s="498"/>
      <c r="AD13" s="498"/>
      <c r="AE13" s="498"/>
      <c r="AF13" s="498"/>
      <c r="AG13" s="498"/>
      <c r="AH13" s="498"/>
      <c r="AI13" s="498"/>
      <c r="AJ13" s="172"/>
    </row>
    <row r="14" spans="1:36" ht="108" customHeight="1" x14ac:dyDescent="0.2">
      <c r="A14" s="168" t="s">
        <v>366</v>
      </c>
      <c r="B14" s="168"/>
      <c r="C14" s="168"/>
      <c r="D14" s="417"/>
      <c r="E14" s="642" t="s">
        <v>16</v>
      </c>
      <c r="F14" s="642" t="s">
        <v>16</v>
      </c>
      <c r="G14" s="642" t="s">
        <v>16</v>
      </c>
      <c r="H14" s="642" t="s">
        <v>16</v>
      </c>
      <c r="I14" s="642" t="s">
        <v>16</v>
      </c>
      <c r="J14" s="642" t="s">
        <v>16</v>
      </c>
      <c r="K14" s="642" t="s">
        <v>16</v>
      </c>
      <c r="L14" s="642" t="s">
        <v>16</v>
      </c>
      <c r="M14" s="642" t="s">
        <v>16</v>
      </c>
      <c r="N14" s="642" t="s">
        <v>16</v>
      </c>
      <c r="O14" s="642" t="s">
        <v>16</v>
      </c>
      <c r="P14" s="642" t="s">
        <v>16</v>
      </c>
      <c r="Q14" s="642" t="s">
        <v>16</v>
      </c>
      <c r="R14" s="561">
        <f>(R15+R16+R17+R18+R19+R20+R21)/7*100</f>
        <v>100</v>
      </c>
      <c r="S14" s="642" t="s">
        <v>16</v>
      </c>
      <c r="T14" s="561">
        <f>(T15+T16+T17+T18+T19+T20+T21)/7*100</f>
        <v>0</v>
      </c>
      <c r="U14" s="642" t="s">
        <v>16</v>
      </c>
      <c r="V14" s="642" t="s">
        <v>16</v>
      </c>
      <c r="W14" s="642" t="s">
        <v>16</v>
      </c>
      <c r="X14" s="642" t="s">
        <v>16</v>
      </c>
      <c r="Y14" s="642" t="s">
        <v>16</v>
      </c>
      <c r="Z14" s="642" t="s">
        <v>16</v>
      </c>
      <c r="AA14" s="642" t="s">
        <v>16</v>
      </c>
      <c r="AB14" s="642" t="s">
        <v>16</v>
      </c>
      <c r="AC14" s="642" t="s">
        <v>16</v>
      </c>
      <c r="AD14" s="642" t="s">
        <v>16</v>
      </c>
      <c r="AE14" s="642" t="s">
        <v>16</v>
      </c>
      <c r="AF14" s="642" t="s">
        <v>16</v>
      </c>
      <c r="AG14" s="642" t="s">
        <v>16</v>
      </c>
      <c r="AH14" s="642" t="s">
        <v>16</v>
      </c>
      <c r="AI14" s="642" t="s">
        <v>470</v>
      </c>
      <c r="AJ14" s="172"/>
    </row>
    <row r="15" spans="1:36" ht="14.45" customHeight="1" x14ac:dyDescent="0.2">
      <c r="A15" s="649" t="s">
        <v>54</v>
      </c>
      <c r="B15" s="650"/>
      <c r="C15" s="651"/>
      <c r="D15" s="417"/>
      <c r="E15" s="643"/>
      <c r="F15" s="643"/>
      <c r="G15" s="643"/>
      <c r="H15" s="643"/>
      <c r="I15" s="643"/>
      <c r="J15" s="643"/>
      <c r="K15" s="643"/>
      <c r="L15" s="643"/>
      <c r="M15" s="643"/>
      <c r="N15" s="643"/>
      <c r="O15" s="643"/>
      <c r="P15" s="643"/>
      <c r="Q15" s="643"/>
      <c r="R15" s="498">
        <v>1</v>
      </c>
      <c r="S15" s="643"/>
      <c r="T15" s="498">
        <v>0</v>
      </c>
      <c r="U15" s="643"/>
      <c r="V15" s="643"/>
      <c r="W15" s="643"/>
      <c r="X15" s="643"/>
      <c r="Y15" s="643"/>
      <c r="Z15" s="643"/>
      <c r="AA15" s="643"/>
      <c r="AB15" s="643"/>
      <c r="AC15" s="643"/>
      <c r="AD15" s="643"/>
      <c r="AE15" s="643"/>
      <c r="AF15" s="643"/>
      <c r="AG15" s="643"/>
      <c r="AH15" s="643"/>
      <c r="AI15" s="643"/>
      <c r="AJ15" s="172"/>
    </row>
    <row r="16" spans="1:36" ht="16.5" customHeight="1" x14ac:dyDescent="0.2">
      <c r="A16" s="649" t="s">
        <v>55</v>
      </c>
      <c r="B16" s="650"/>
      <c r="C16" s="651"/>
      <c r="D16" s="417"/>
      <c r="E16" s="643"/>
      <c r="F16" s="643"/>
      <c r="G16" s="643"/>
      <c r="H16" s="643"/>
      <c r="I16" s="643"/>
      <c r="J16" s="643"/>
      <c r="K16" s="643"/>
      <c r="L16" s="643"/>
      <c r="M16" s="643"/>
      <c r="N16" s="643"/>
      <c r="O16" s="643"/>
      <c r="P16" s="643"/>
      <c r="Q16" s="643"/>
      <c r="R16" s="498">
        <v>1</v>
      </c>
      <c r="S16" s="643"/>
      <c r="T16" s="498">
        <v>0</v>
      </c>
      <c r="U16" s="643"/>
      <c r="V16" s="643"/>
      <c r="W16" s="643"/>
      <c r="X16" s="643"/>
      <c r="Y16" s="643"/>
      <c r="Z16" s="643"/>
      <c r="AA16" s="643"/>
      <c r="AB16" s="643"/>
      <c r="AC16" s="643"/>
      <c r="AD16" s="643"/>
      <c r="AE16" s="643"/>
      <c r="AF16" s="643"/>
      <c r="AG16" s="643"/>
      <c r="AH16" s="643"/>
      <c r="AI16" s="643"/>
      <c r="AJ16" s="172"/>
    </row>
    <row r="17" spans="1:36" ht="30.6" customHeight="1" x14ac:dyDescent="0.2">
      <c r="A17" s="649" t="s">
        <v>56</v>
      </c>
      <c r="B17" s="650"/>
      <c r="C17" s="651"/>
      <c r="D17" s="417"/>
      <c r="E17" s="643"/>
      <c r="F17" s="643"/>
      <c r="G17" s="643"/>
      <c r="H17" s="643"/>
      <c r="I17" s="643"/>
      <c r="J17" s="643"/>
      <c r="K17" s="643"/>
      <c r="L17" s="643"/>
      <c r="M17" s="643"/>
      <c r="N17" s="643"/>
      <c r="O17" s="643"/>
      <c r="P17" s="643"/>
      <c r="Q17" s="643"/>
      <c r="R17" s="498">
        <v>1</v>
      </c>
      <c r="S17" s="643"/>
      <c r="T17" s="498">
        <v>0</v>
      </c>
      <c r="U17" s="643"/>
      <c r="V17" s="643"/>
      <c r="W17" s="643"/>
      <c r="X17" s="643"/>
      <c r="Y17" s="643"/>
      <c r="Z17" s="643"/>
      <c r="AA17" s="643"/>
      <c r="AB17" s="643"/>
      <c r="AC17" s="643"/>
      <c r="AD17" s="643"/>
      <c r="AE17" s="643"/>
      <c r="AF17" s="643"/>
      <c r="AG17" s="643"/>
      <c r="AH17" s="643"/>
      <c r="AI17" s="643"/>
      <c r="AJ17" s="172"/>
    </row>
    <row r="18" spans="1:36" ht="30" customHeight="1" x14ac:dyDescent="0.2">
      <c r="A18" s="649" t="s">
        <v>57</v>
      </c>
      <c r="B18" s="650"/>
      <c r="C18" s="651"/>
      <c r="D18" s="417"/>
      <c r="E18" s="643"/>
      <c r="F18" s="643"/>
      <c r="G18" s="643"/>
      <c r="H18" s="643"/>
      <c r="I18" s="643"/>
      <c r="J18" s="643"/>
      <c r="K18" s="643"/>
      <c r="L18" s="643"/>
      <c r="M18" s="643"/>
      <c r="N18" s="643"/>
      <c r="O18" s="643"/>
      <c r="P18" s="643"/>
      <c r="Q18" s="643"/>
      <c r="R18" s="498">
        <v>1</v>
      </c>
      <c r="S18" s="643"/>
      <c r="T18" s="498">
        <v>0</v>
      </c>
      <c r="U18" s="643"/>
      <c r="V18" s="643"/>
      <c r="W18" s="643"/>
      <c r="X18" s="643"/>
      <c r="Y18" s="643"/>
      <c r="Z18" s="643"/>
      <c r="AA18" s="643"/>
      <c r="AB18" s="643"/>
      <c r="AC18" s="643"/>
      <c r="AD18" s="643"/>
      <c r="AE18" s="643"/>
      <c r="AF18" s="643"/>
      <c r="AG18" s="643"/>
      <c r="AH18" s="643"/>
      <c r="AI18" s="643"/>
      <c r="AJ18" s="172"/>
    </row>
    <row r="19" spans="1:36" ht="31.5" customHeight="1" x14ac:dyDescent="0.2">
      <c r="A19" s="649" t="s">
        <v>58</v>
      </c>
      <c r="B19" s="650"/>
      <c r="C19" s="651"/>
      <c r="D19" s="417"/>
      <c r="E19" s="643"/>
      <c r="F19" s="643"/>
      <c r="G19" s="643"/>
      <c r="H19" s="643"/>
      <c r="I19" s="643"/>
      <c r="J19" s="643"/>
      <c r="K19" s="643"/>
      <c r="L19" s="643"/>
      <c r="M19" s="643"/>
      <c r="N19" s="643"/>
      <c r="O19" s="643"/>
      <c r="P19" s="643"/>
      <c r="Q19" s="643"/>
      <c r="R19" s="498">
        <v>1</v>
      </c>
      <c r="S19" s="643"/>
      <c r="T19" s="498">
        <v>0</v>
      </c>
      <c r="U19" s="643"/>
      <c r="V19" s="643"/>
      <c r="W19" s="643"/>
      <c r="X19" s="643"/>
      <c r="Y19" s="643"/>
      <c r="Z19" s="643"/>
      <c r="AA19" s="643"/>
      <c r="AB19" s="643"/>
      <c r="AC19" s="643"/>
      <c r="AD19" s="643"/>
      <c r="AE19" s="643"/>
      <c r="AF19" s="643"/>
      <c r="AG19" s="643"/>
      <c r="AH19" s="643"/>
      <c r="AI19" s="643"/>
      <c r="AJ19" s="172"/>
    </row>
    <row r="20" spans="1:36" ht="46.5" customHeight="1" x14ac:dyDescent="0.2">
      <c r="A20" s="649" t="s">
        <v>59</v>
      </c>
      <c r="B20" s="650"/>
      <c r="C20" s="651"/>
      <c r="D20" s="417"/>
      <c r="E20" s="643"/>
      <c r="F20" s="643"/>
      <c r="G20" s="643"/>
      <c r="H20" s="643"/>
      <c r="I20" s="643"/>
      <c r="J20" s="643"/>
      <c r="K20" s="643"/>
      <c r="L20" s="643"/>
      <c r="M20" s="643"/>
      <c r="N20" s="643"/>
      <c r="O20" s="643"/>
      <c r="P20" s="643"/>
      <c r="Q20" s="643"/>
      <c r="R20" s="498">
        <v>1</v>
      </c>
      <c r="S20" s="643"/>
      <c r="T20" s="498">
        <v>0</v>
      </c>
      <c r="U20" s="643"/>
      <c r="V20" s="643"/>
      <c r="W20" s="643"/>
      <c r="X20" s="643"/>
      <c r="Y20" s="643"/>
      <c r="Z20" s="643"/>
      <c r="AA20" s="643"/>
      <c r="AB20" s="643"/>
      <c r="AC20" s="643"/>
      <c r="AD20" s="643"/>
      <c r="AE20" s="643"/>
      <c r="AF20" s="643"/>
      <c r="AG20" s="643"/>
      <c r="AH20" s="643"/>
      <c r="AI20" s="643"/>
      <c r="AJ20" s="172"/>
    </row>
    <row r="21" spans="1:36" ht="34.15" customHeight="1" x14ac:dyDescent="0.2">
      <c r="A21" s="649" t="s">
        <v>60</v>
      </c>
      <c r="B21" s="650"/>
      <c r="C21" s="651"/>
      <c r="D21" s="417"/>
      <c r="E21" s="644"/>
      <c r="F21" s="644"/>
      <c r="G21" s="644"/>
      <c r="H21" s="644"/>
      <c r="I21" s="644"/>
      <c r="J21" s="644"/>
      <c r="K21" s="644"/>
      <c r="L21" s="644"/>
      <c r="M21" s="644"/>
      <c r="N21" s="644"/>
      <c r="O21" s="644"/>
      <c r="P21" s="644"/>
      <c r="Q21" s="644"/>
      <c r="R21" s="498">
        <v>1</v>
      </c>
      <c r="S21" s="644"/>
      <c r="T21" s="498">
        <v>0</v>
      </c>
      <c r="U21" s="644"/>
      <c r="V21" s="644"/>
      <c r="W21" s="644"/>
      <c r="X21" s="644"/>
      <c r="Y21" s="644"/>
      <c r="Z21" s="644"/>
      <c r="AA21" s="644"/>
      <c r="AB21" s="644"/>
      <c r="AC21" s="644"/>
      <c r="AD21" s="644"/>
      <c r="AE21" s="644"/>
      <c r="AF21" s="644"/>
      <c r="AG21" s="644"/>
      <c r="AH21" s="644"/>
      <c r="AI21" s="644"/>
      <c r="AJ21" s="172"/>
    </row>
    <row r="22" spans="1:36" ht="90" x14ac:dyDescent="0.2">
      <c r="A22" s="562" t="s">
        <v>205</v>
      </c>
      <c r="B22" s="498" t="s">
        <v>5</v>
      </c>
      <c r="C22" s="498"/>
      <c r="D22" s="170">
        <v>0</v>
      </c>
      <c r="E22" s="563">
        <f>B33/E33*100</f>
        <v>20.340887546876662</v>
      </c>
      <c r="F22" s="563">
        <f>B34/E34*100</f>
        <v>100</v>
      </c>
      <c r="G22" s="563">
        <f>B35/E35*100</f>
        <v>82.652799039869777</v>
      </c>
      <c r="H22" s="563">
        <f>B38/E38*100</f>
        <v>100</v>
      </c>
      <c r="I22" s="563">
        <f>B41/E41*100</f>
        <v>100</v>
      </c>
      <c r="J22" s="563">
        <f>(B43/E43*100)</f>
        <v>100</v>
      </c>
      <c r="K22" s="563">
        <f>(B45/E45*100)</f>
        <v>100</v>
      </c>
      <c r="L22" s="563">
        <f>(B47/E47*100)</f>
        <v>100</v>
      </c>
      <c r="M22" s="563">
        <f>(B53/E53*100)</f>
        <v>100</v>
      </c>
      <c r="N22" s="563">
        <f>(B56/E56*100)</f>
        <v>100</v>
      </c>
      <c r="O22" s="563">
        <f>B58/E58*100</f>
        <v>0</v>
      </c>
      <c r="P22" s="563">
        <f>B59/E59*100</f>
        <v>99.999999999999986</v>
      </c>
      <c r="Q22" s="563">
        <f>B72/E72*100</f>
        <v>100</v>
      </c>
      <c r="R22" s="563">
        <f>B74/E74*100</f>
        <v>93.3906253413369</v>
      </c>
      <c r="S22" s="563">
        <f>B80/E80*100</f>
        <v>100</v>
      </c>
      <c r="T22" s="563">
        <f>B82/E82*100</f>
        <v>100</v>
      </c>
      <c r="U22" s="563">
        <f>B86/E86*100</f>
        <v>69.06493285539122</v>
      </c>
      <c r="V22" s="563">
        <f>B92/E92*100</f>
        <v>0</v>
      </c>
      <c r="W22" s="563">
        <f>B93/E93*100</f>
        <v>73.530274834732822</v>
      </c>
      <c r="X22" s="563">
        <f>B94/E94*100</f>
        <v>0</v>
      </c>
      <c r="Y22" s="563">
        <f>B96/E96*100</f>
        <v>0</v>
      </c>
      <c r="Z22" s="563">
        <f>B97/E97*100</f>
        <v>0</v>
      </c>
      <c r="AA22" s="563">
        <f>B99/E99*100</f>
        <v>93.361133925240424</v>
      </c>
      <c r="AB22" s="563">
        <f>B106/E106*100</f>
        <v>17.221524288107204</v>
      </c>
      <c r="AC22" s="563">
        <f>B107/E107*100</f>
        <v>22.301069350526813</v>
      </c>
      <c r="AD22" s="563">
        <f>B108/E108*100</f>
        <v>39.811486778720671</v>
      </c>
      <c r="AE22" s="563">
        <f>B109/E109*100</f>
        <v>21.913700951636031</v>
      </c>
      <c r="AF22" s="563">
        <f>B110/E110*100</f>
        <v>39.387267682522513</v>
      </c>
      <c r="AG22" s="563">
        <f>B111/E111*100</f>
        <v>42.253595670640543</v>
      </c>
      <c r="AH22" s="563">
        <f>B112/E112*100</f>
        <v>77.655983691474802</v>
      </c>
      <c r="AI22" s="498" t="s">
        <v>464</v>
      </c>
      <c r="AJ22" s="172"/>
    </row>
    <row r="23" spans="1:36" ht="135" x14ac:dyDescent="0.2">
      <c r="A23" s="171" t="s">
        <v>206</v>
      </c>
      <c r="B23" s="498" t="s">
        <v>5</v>
      </c>
      <c r="C23" s="498"/>
      <c r="D23" s="170">
        <v>0</v>
      </c>
      <c r="E23" s="563">
        <f>(B33-C33)/E33*100</f>
        <v>5.9387123772883434</v>
      </c>
      <c r="F23" s="563">
        <f>(B34-C34)/E34*100</f>
        <v>100</v>
      </c>
      <c r="G23" s="563">
        <f>(B35-C35)/E35*100</f>
        <v>82.652799039869777</v>
      </c>
      <c r="H23" s="563">
        <f>(B38-C38)/E38*100</f>
        <v>99.102981256969258</v>
      </c>
      <c r="I23" s="563">
        <f>(B41-C41)/E41*100</f>
        <v>100</v>
      </c>
      <c r="J23" s="563">
        <f>(B43-C43)/E43*100</f>
        <v>100</v>
      </c>
      <c r="K23" s="563">
        <f>(B45-C45)/E45*100</f>
        <v>100</v>
      </c>
      <c r="L23" s="563">
        <f>(B47-C47)/E47*100</f>
        <v>100</v>
      </c>
      <c r="M23" s="563">
        <f>(B53-C53)/E53*100</f>
        <v>100</v>
      </c>
      <c r="N23" s="563">
        <f>(B56-C56)/E56*100</f>
        <v>100</v>
      </c>
      <c r="O23" s="563">
        <f>(B58-C58)/E58*100</f>
        <v>0</v>
      </c>
      <c r="P23" s="563">
        <f>(B59-C59)/E59*100</f>
        <v>99.971842233418641</v>
      </c>
      <c r="Q23" s="563">
        <f>(B72-C72)/E72*100</f>
        <v>6.32268585406284E-2</v>
      </c>
      <c r="R23" s="563">
        <f>(B74-C74)/E74*100</f>
        <v>46.369680302342573</v>
      </c>
      <c r="S23" s="563">
        <f>(B80-C80)/E80*100</f>
        <v>1.7205213733896298</v>
      </c>
      <c r="T23" s="563">
        <f>(B82-C82)/E82*100</f>
        <v>18.4039524439785</v>
      </c>
      <c r="U23" s="563">
        <f>(B86-C86)/E86*100</f>
        <v>69.06493285539122</v>
      </c>
      <c r="V23" s="563">
        <f>(B92-C92)/E92*100</f>
        <v>0</v>
      </c>
      <c r="W23" s="563">
        <f>(B93-C93)/E93*100</f>
        <v>73.530274834732822</v>
      </c>
      <c r="X23" s="563">
        <f>(B94-C94)/E94*100</f>
        <v>0</v>
      </c>
      <c r="Y23" s="563">
        <f>(B96-C96)/E96*100</f>
        <v>0</v>
      </c>
      <c r="Z23" s="563">
        <f>(B97-C97)/E97*100</f>
        <v>0</v>
      </c>
      <c r="AA23" s="563">
        <f>(B99-C99)/E99*100</f>
        <v>93.361133925240424</v>
      </c>
      <c r="AB23" s="563">
        <f>(B106-C106)/E106*100</f>
        <v>17.221524288107204</v>
      </c>
      <c r="AC23" s="563">
        <f>(B107-C107)/E107*100</f>
        <v>22.301069350526813</v>
      </c>
      <c r="AD23" s="563">
        <f>(B108-C108)/E108*100</f>
        <v>39.811486778720671</v>
      </c>
      <c r="AE23" s="563">
        <f>(B109-C109)/E109*100</f>
        <v>21.913700951636031</v>
      </c>
      <c r="AF23" s="563">
        <f>(B110-C110)/E110*100</f>
        <v>39.387267682522513</v>
      </c>
      <c r="AG23" s="563">
        <f>(B111-C111)/E111*100</f>
        <v>42.253595670640543</v>
      </c>
      <c r="AH23" s="563">
        <f>(B112-C112)/E112*100</f>
        <v>77.655983691474802</v>
      </c>
      <c r="AI23" s="498" t="s">
        <v>465</v>
      </c>
      <c r="AJ23" s="172"/>
    </row>
    <row r="24" spans="1:36" ht="15" x14ac:dyDescent="0.2">
      <c r="A24" s="172"/>
      <c r="B24" s="172"/>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row>
    <row r="25" spans="1:36" ht="21.75" customHeight="1" x14ac:dyDescent="0.2">
      <c r="A25" s="415" t="s">
        <v>471</v>
      </c>
      <c r="B25" s="172"/>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row>
    <row r="26" spans="1:36" ht="18.75" x14ac:dyDescent="0.3">
      <c r="A26" s="439" t="s">
        <v>516</v>
      </c>
    </row>
    <row r="31" spans="1:36" x14ac:dyDescent="0.2">
      <c r="A31" s="2" t="s">
        <v>489</v>
      </c>
    </row>
    <row r="32" spans="1:36" ht="108.75" customHeight="1" x14ac:dyDescent="0.2">
      <c r="A32" s="296"/>
      <c r="B32" s="295" t="s">
        <v>463</v>
      </c>
      <c r="C32" s="295" t="s">
        <v>333</v>
      </c>
      <c r="D32" s="294"/>
      <c r="E32" s="295" t="s">
        <v>367</v>
      </c>
      <c r="F32" s="346" t="s">
        <v>409</v>
      </c>
    </row>
    <row r="33" spans="1:6" ht="41.25" customHeight="1" x14ac:dyDescent="0.2">
      <c r="A33" s="564" t="s">
        <v>268</v>
      </c>
      <c r="B33" s="418">
        <v>21994.5</v>
      </c>
      <c r="C33" s="418">
        <v>15573</v>
      </c>
      <c r="D33" s="297"/>
      <c r="E33" s="418">
        <v>108129.5</v>
      </c>
      <c r="F33" s="565">
        <v>7</v>
      </c>
    </row>
    <row r="34" spans="1:6" ht="42.75" x14ac:dyDescent="0.2">
      <c r="A34" s="564" t="s">
        <v>292</v>
      </c>
      <c r="B34" s="418">
        <v>12629.1</v>
      </c>
      <c r="C34" s="300">
        <v>0</v>
      </c>
      <c r="D34" s="301"/>
      <c r="E34" s="418">
        <v>12629.1</v>
      </c>
      <c r="F34" s="300">
        <v>1</v>
      </c>
    </row>
    <row r="35" spans="1:6" ht="28.5" x14ac:dyDescent="0.2">
      <c r="A35" s="564" t="s">
        <v>291</v>
      </c>
      <c r="B35" s="418">
        <v>199441.7</v>
      </c>
      <c r="C35" s="300">
        <v>0</v>
      </c>
      <c r="D35" s="301"/>
      <c r="E35" s="418">
        <v>241300.6</v>
      </c>
      <c r="F35" s="300">
        <v>1</v>
      </c>
    </row>
    <row r="36" spans="1:6" ht="45" x14ac:dyDescent="0.25">
      <c r="A36" s="419" t="s">
        <v>462</v>
      </c>
      <c r="B36" s="414">
        <v>199441.7</v>
      </c>
      <c r="C36" s="420">
        <v>0</v>
      </c>
      <c r="D36" s="516"/>
      <c r="E36" s="299"/>
      <c r="F36" s="300"/>
    </row>
    <row r="37" spans="1:6" ht="15" x14ac:dyDescent="0.25">
      <c r="A37" s="419"/>
      <c r="B37" s="524">
        <v>0</v>
      </c>
      <c r="C37" s="298">
        <v>0</v>
      </c>
      <c r="D37" s="516"/>
      <c r="E37" s="299"/>
      <c r="F37" s="300"/>
    </row>
    <row r="38" spans="1:6" ht="28.5" x14ac:dyDescent="0.2">
      <c r="A38" s="564" t="s">
        <v>271</v>
      </c>
      <c r="B38" s="418">
        <f>B39+B40</f>
        <v>157477.20000000001</v>
      </c>
      <c r="C38" s="418">
        <v>1412.6</v>
      </c>
      <c r="D38" s="297"/>
      <c r="E38" s="418">
        <v>157477.20000000001</v>
      </c>
      <c r="F38" s="300">
        <v>2</v>
      </c>
    </row>
    <row r="39" spans="1:6" ht="45" x14ac:dyDescent="0.25">
      <c r="A39" s="413" t="s">
        <v>368</v>
      </c>
      <c r="B39" s="524">
        <v>43139.8</v>
      </c>
      <c r="C39" s="524">
        <v>1412.6</v>
      </c>
      <c r="D39" s="421"/>
      <c r="E39" s="422"/>
      <c r="F39" s="300"/>
    </row>
    <row r="40" spans="1:6" ht="60" x14ac:dyDescent="0.25">
      <c r="A40" s="514" t="s">
        <v>369</v>
      </c>
      <c r="B40" s="524">
        <v>114337.4</v>
      </c>
      <c r="C40" s="422"/>
      <c r="D40" s="421"/>
      <c r="E40" s="422"/>
      <c r="F40" s="300"/>
    </row>
    <row r="41" spans="1:6" ht="28.5" x14ac:dyDescent="0.25">
      <c r="A41" s="564" t="s">
        <v>320</v>
      </c>
      <c r="B41" s="418">
        <v>2280.4</v>
      </c>
      <c r="C41" s="300">
        <v>0</v>
      </c>
      <c r="D41" s="516"/>
      <c r="E41" s="418">
        <v>2280.4</v>
      </c>
      <c r="F41" s="300">
        <v>1</v>
      </c>
    </row>
    <row r="42" spans="1:6" ht="45" x14ac:dyDescent="0.25">
      <c r="A42" s="413" t="s">
        <v>368</v>
      </c>
      <c r="B42" s="524">
        <v>2280.4</v>
      </c>
      <c r="C42" s="299"/>
      <c r="D42" s="516"/>
      <c r="E42" s="299"/>
      <c r="F42" s="300"/>
    </row>
    <row r="43" spans="1:6" ht="14.25" x14ac:dyDescent="0.2">
      <c r="A43" s="300" t="s">
        <v>293</v>
      </c>
      <c r="B43" s="418">
        <f>B44</f>
        <v>17049.7</v>
      </c>
      <c r="C43" s="300">
        <v>0</v>
      </c>
      <c r="D43" s="301"/>
      <c r="E43" s="418">
        <v>17049.7</v>
      </c>
      <c r="F43" s="300">
        <v>1</v>
      </c>
    </row>
    <row r="44" spans="1:6" ht="60" x14ac:dyDescent="0.25">
      <c r="A44" s="514" t="s">
        <v>370</v>
      </c>
      <c r="B44" s="524">
        <v>17049.7</v>
      </c>
      <c r="C44" s="299"/>
      <c r="D44" s="516"/>
      <c r="E44" s="299"/>
      <c r="F44" s="300"/>
    </row>
    <row r="45" spans="1:6" ht="14.25" x14ac:dyDescent="0.2">
      <c r="A45" s="564" t="s">
        <v>294</v>
      </c>
      <c r="B45" s="418">
        <f>B46</f>
        <v>4740</v>
      </c>
      <c r="C45" s="300">
        <v>0</v>
      </c>
      <c r="D45" s="301"/>
      <c r="E45" s="418">
        <v>4740</v>
      </c>
      <c r="F45" s="300">
        <v>1</v>
      </c>
    </row>
    <row r="46" spans="1:6" ht="45" x14ac:dyDescent="0.25">
      <c r="A46" s="514" t="s">
        <v>371</v>
      </c>
      <c r="B46" s="524">
        <v>4740</v>
      </c>
      <c r="C46" s="299"/>
      <c r="D46" s="516"/>
      <c r="E46" s="299"/>
      <c r="F46" s="300"/>
    </row>
    <row r="47" spans="1:6" ht="14.25" x14ac:dyDescent="0.2">
      <c r="A47" s="300" t="s">
        <v>295</v>
      </c>
      <c r="B47" s="418">
        <f>SUM(B48:B52)</f>
        <v>65642.399999999994</v>
      </c>
      <c r="C47" s="300">
        <v>0</v>
      </c>
      <c r="D47" s="301"/>
      <c r="E47" s="418">
        <v>65642.399999999994</v>
      </c>
      <c r="F47" s="300">
        <v>5</v>
      </c>
    </row>
    <row r="48" spans="1:6" ht="45" x14ac:dyDescent="0.25">
      <c r="A48" s="413" t="s">
        <v>372</v>
      </c>
      <c r="B48" s="524">
        <v>12155.9</v>
      </c>
      <c r="C48" s="521"/>
      <c r="D48" s="523"/>
      <c r="E48" s="521"/>
      <c r="F48" s="300"/>
    </row>
    <row r="49" spans="1:6" ht="75" x14ac:dyDescent="0.25">
      <c r="A49" s="413" t="s">
        <v>373</v>
      </c>
      <c r="B49" s="524">
        <v>30390.799999999999</v>
      </c>
      <c r="C49" s="521"/>
      <c r="D49" s="523"/>
      <c r="E49" s="521"/>
      <c r="F49" s="300"/>
    </row>
    <row r="50" spans="1:6" ht="60.75" customHeight="1" x14ac:dyDescent="0.25">
      <c r="A50" s="413" t="s">
        <v>374</v>
      </c>
      <c r="B50" s="524">
        <v>10576.3</v>
      </c>
      <c r="C50" s="521"/>
      <c r="D50" s="523"/>
      <c r="E50" s="521"/>
      <c r="F50" s="300"/>
    </row>
    <row r="51" spans="1:6" ht="57.75" customHeight="1" x14ac:dyDescent="0.25">
      <c r="A51" s="413" t="s">
        <v>438</v>
      </c>
      <c r="B51" s="524">
        <v>9546.4</v>
      </c>
      <c r="C51" s="521"/>
      <c r="D51" s="523"/>
      <c r="E51" s="521"/>
      <c r="F51" s="300"/>
    </row>
    <row r="52" spans="1:6" ht="60" x14ac:dyDescent="0.25">
      <c r="A52" s="413" t="s">
        <v>375</v>
      </c>
      <c r="B52" s="524">
        <v>2973</v>
      </c>
      <c r="C52" s="521"/>
      <c r="D52" s="523"/>
      <c r="E52" s="521"/>
      <c r="F52" s="300"/>
    </row>
    <row r="53" spans="1:6" ht="14.25" x14ac:dyDescent="0.2">
      <c r="A53" s="300" t="s">
        <v>290</v>
      </c>
      <c r="B53" s="418">
        <f>B54+B55</f>
        <v>9706.7000000000007</v>
      </c>
      <c r="C53" s="300">
        <v>0</v>
      </c>
      <c r="D53" s="301"/>
      <c r="E53" s="418">
        <v>9706.7000000000007</v>
      </c>
      <c r="F53" s="300">
        <v>2</v>
      </c>
    </row>
    <row r="54" spans="1:6" ht="45" x14ac:dyDescent="0.25">
      <c r="A54" s="413" t="s">
        <v>368</v>
      </c>
      <c r="B54" s="524">
        <v>7835.3</v>
      </c>
      <c r="C54" s="300"/>
      <c r="D54" s="301"/>
      <c r="E54" s="300"/>
      <c r="F54" s="300"/>
    </row>
    <row r="55" spans="1:6" ht="60" customHeight="1" x14ac:dyDescent="0.25">
      <c r="A55" s="413" t="s">
        <v>376</v>
      </c>
      <c r="B55" s="524">
        <v>1871.4</v>
      </c>
      <c r="C55" s="300"/>
      <c r="D55" s="301"/>
      <c r="E55" s="300"/>
      <c r="F55" s="300"/>
    </row>
    <row r="56" spans="1:6" ht="14.25" x14ac:dyDescent="0.2">
      <c r="A56" s="564" t="s">
        <v>296</v>
      </c>
      <c r="B56" s="418">
        <f>B57</f>
        <v>23427</v>
      </c>
      <c r="C56" s="300">
        <v>0</v>
      </c>
      <c r="D56" s="301"/>
      <c r="E56" s="418">
        <v>23427</v>
      </c>
      <c r="F56" s="300">
        <v>1</v>
      </c>
    </row>
    <row r="57" spans="1:6" ht="45" x14ac:dyDescent="0.25">
      <c r="A57" s="514" t="s">
        <v>371</v>
      </c>
      <c r="B57" s="524">
        <v>23427</v>
      </c>
      <c r="C57" s="299"/>
      <c r="D57" s="516"/>
      <c r="E57" s="299"/>
      <c r="F57" s="300"/>
    </row>
    <row r="58" spans="1:6" ht="36" customHeight="1" x14ac:dyDescent="0.2">
      <c r="A58" s="564" t="s">
        <v>282</v>
      </c>
      <c r="B58" s="300">
        <v>0</v>
      </c>
      <c r="C58" s="300">
        <v>0</v>
      </c>
      <c r="D58" s="301"/>
      <c r="E58" s="418">
        <v>8682.2999999999993</v>
      </c>
      <c r="F58" s="300" t="s">
        <v>218</v>
      </c>
    </row>
    <row r="59" spans="1:6" s="38" customFormat="1" ht="20.25" customHeight="1" x14ac:dyDescent="0.2">
      <c r="A59" s="300" t="s">
        <v>297</v>
      </c>
      <c r="B59" s="418">
        <f>B60+B61+B62+B63+B64+B65+B66+B67+B68+B69+B70+B71</f>
        <v>389945.69999999995</v>
      </c>
      <c r="C59" s="418">
        <v>109.8</v>
      </c>
      <c r="D59" s="301"/>
      <c r="E59" s="418">
        <v>389945.7</v>
      </c>
      <c r="F59" s="300">
        <v>11</v>
      </c>
    </row>
    <row r="60" spans="1:6" ht="51.75" customHeight="1" x14ac:dyDescent="0.25">
      <c r="A60" s="419" t="s">
        <v>344</v>
      </c>
      <c r="B60" s="414">
        <v>188725.5</v>
      </c>
      <c r="C60" s="298"/>
      <c r="D60" s="516"/>
      <c r="E60" s="299"/>
      <c r="F60" s="300"/>
    </row>
    <row r="61" spans="1:6" ht="60" x14ac:dyDescent="0.25">
      <c r="A61" s="419" t="s">
        <v>345</v>
      </c>
      <c r="B61" s="414">
        <v>2116.3000000000002</v>
      </c>
      <c r="C61" s="298"/>
      <c r="D61" s="516"/>
      <c r="E61" s="299"/>
      <c r="F61" s="300"/>
    </row>
    <row r="62" spans="1:6" ht="90" x14ac:dyDescent="0.25">
      <c r="A62" s="419" t="s">
        <v>346</v>
      </c>
      <c r="B62" s="414">
        <v>3726.1</v>
      </c>
      <c r="C62" s="298"/>
      <c r="D62" s="516"/>
      <c r="E62" s="299"/>
      <c r="F62" s="300"/>
    </row>
    <row r="63" spans="1:6" ht="60" x14ac:dyDescent="0.25">
      <c r="A63" s="419" t="s">
        <v>347</v>
      </c>
      <c r="B63" s="414">
        <v>1954.8</v>
      </c>
      <c r="C63" s="298"/>
      <c r="D63" s="516"/>
      <c r="E63" s="299"/>
      <c r="F63" s="300"/>
    </row>
    <row r="64" spans="1:6" ht="75" x14ac:dyDescent="0.25">
      <c r="A64" s="419" t="s">
        <v>348</v>
      </c>
      <c r="B64" s="414">
        <v>109871.5</v>
      </c>
      <c r="C64" s="520">
        <v>109.8</v>
      </c>
      <c r="D64" s="516"/>
      <c r="E64" s="299"/>
      <c r="F64" s="300"/>
    </row>
    <row r="65" spans="1:6" ht="75" x14ac:dyDescent="0.25">
      <c r="A65" s="419" t="s">
        <v>349</v>
      </c>
      <c r="B65" s="414">
        <v>7533</v>
      </c>
      <c r="C65" s="298"/>
      <c r="D65" s="516"/>
      <c r="E65" s="299"/>
      <c r="F65" s="300"/>
    </row>
    <row r="66" spans="1:6" ht="75" x14ac:dyDescent="0.25">
      <c r="A66" s="419" t="s">
        <v>350</v>
      </c>
      <c r="B66" s="414">
        <v>51449.5</v>
      </c>
      <c r="C66" s="298"/>
      <c r="D66" s="516"/>
      <c r="E66" s="299"/>
      <c r="F66" s="300"/>
    </row>
    <row r="67" spans="1:6" ht="90" x14ac:dyDescent="0.25">
      <c r="A67" s="419" t="s">
        <v>351</v>
      </c>
      <c r="B67" s="414">
        <v>10545.8</v>
      </c>
      <c r="C67" s="298"/>
      <c r="D67" s="516"/>
      <c r="E67" s="299"/>
      <c r="F67" s="300"/>
    </row>
    <row r="68" spans="1:6" ht="60" x14ac:dyDescent="0.25">
      <c r="A68" s="419" t="s">
        <v>352</v>
      </c>
      <c r="B68" s="414">
        <v>191.2</v>
      </c>
      <c r="C68" s="298"/>
      <c r="D68" s="516"/>
      <c r="E68" s="299"/>
      <c r="F68" s="300"/>
    </row>
    <row r="69" spans="1:6" ht="75" x14ac:dyDescent="0.25">
      <c r="A69" s="419" t="s">
        <v>353</v>
      </c>
      <c r="B69" s="414">
        <v>6399.4</v>
      </c>
      <c r="C69" s="298"/>
      <c r="D69" s="516"/>
      <c r="E69" s="299"/>
      <c r="F69" s="300"/>
    </row>
    <row r="70" spans="1:6" ht="75" x14ac:dyDescent="0.25">
      <c r="A70" s="419" t="s">
        <v>354</v>
      </c>
      <c r="B70" s="414">
        <v>7432.6</v>
      </c>
      <c r="C70" s="298"/>
      <c r="D70" s="516"/>
      <c r="E70" s="299"/>
      <c r="F70" s="300"/>
    </row>
    <row r="71" spans="1:6" ht="79.5" customHeight="1" x14ac:dyDescent="0.25">
      <c r="A71" s="413" t="s">
        <v>377</v>
      </c>
      <c r="B71" s="414"/>
      <c r="C71" s="298"/>
      <c r="D71" s="516"/>
      <c r="E71" s="299"/>
      <c r="F71" s="300"/>
    </row>
    <row r="72" spans="1:6" ht="14.25" x14ac:dyDescent="0.2">
      <c r="A72" s="566" t="s">
        <v>283</v>
      </c>
      <c r="B72" s="301">
        <v>34953.5</v>
      </c>
      <c r="C72" s="300">
        <v>34931.4</v>
      </c>
      <c r="D72" s="301"/>
      <c r="E72" s="300">
        <v>34953.5</v>
      </c>
      <c r="F72" s="300">
        <v>1</v>
      </c>
    </row>
    <row r="73" spans="1:6" ht="60" x14ac:dyDescent="0.25">
      <c r="A73" s="514" t="s">
        <v>341</v>
      </c>
      <c r="B73" s="521">
        <v>34953.5</v>
      </c>
      <c r="C73" s="521">
        <v>34931.4</v>
      </c>
      <c r="D73" s="523"/>
      <c r="E73" s="521"/>
      <c r="F73" s="300"/>
    </row>
    <row r="74" spans="1:6" ht="18" customHeight="1" x14ac:dyDescent="0.2">
      <c r="A74" s="564" t="s">
        <v>298</v>
      </c>
      <c r="B74" s="567">
        <v>769507</v>
      </c>
      <c r="C74" s="567">
        <v>387436.6</v>
      </c>
      <c r="D74" s="423"/>
      <c r="E74" s="567">
        <v>823966</v>
      </c>
      <c r="F74" s="300">
        <v>5</v>
      </c>
    </row>
    <row r="75" spans="1:6" ht="60" x14ac:dyDescent="0.25">
      <c r="A75" s="568" t="s">
        <v>355</v>
      </c>
      <c r="B75" s="569">
        <v>692533.2</v>
      </c>
      <c r="C75" s="420">
        <v>387436.6</v>
      </c>
      <c r="D75" s="516"/>
      <c r="E75" s="299"/>
      <c r="F75" s="300"/>
    </row>
    <row r="76" spans="1:6" ht="45" x14ac:dyDescent="0.25">
      <c r="A76" s="568" t="s">
        <v>356</v>
      </c>
      <c r="B76" s="569">
        <v>69631.5</v>
      </c>
      <c r="C76" s="520">
        <v>0</v>
      </c>
      <c r="D76" s="516"/>
      <c r="E76" s="299"/>
      <c r="F76" s="300"/>
    </row>
    <row r="77" spans="1:6" ht="60" x14ac:dyDescent="0.25">
      <c r="A77" s="568" t="s">
        <v>357</v>
      </c>
      <c r="B77" s="569">
        <v>3219.9</v>
      </c>
      <c r="C77" s="520">
        <v>0</v>
      </c>
      <c r="D77" s="516"/>
      <c r="E77" s="299"/>
      <c r="F77" s="300"/>
    </row>
    <row r="78" spans="1:6" ht="60" x14ac:dyDescent="0.25">
      <c r="A78" s="568" t="s">
        <v>358</v>
      </c>
      <c r="B78" s="569">
        <v>202.5</v>
      </c>
      <c r="C78" s="520">
        <v>0</v>
      </c>
      <c r="D78" s="516"/>
      <c r="E78" s="299"/>
      <c r="F78" s="300"/>
    </row>
    <row r="79" spans="1:6" ht="60" x14ac:dyDescent="0.25">
      <c r="A79" s="568" t="s">
        <v>359</v>
      </c>
      <c r="B79" s="569">
        <v>2420</v>
      </c>
      <c r="C79" s="520">
        <v>0</v>
      </c>
      <c r="D79" s="516"/>
      <c r="E79" s="299"/>
      <c r="F79" s="300"/>
    </row>
    <row r="80" spans="1:6" ht="28.5" x14ac:dyDescent="0.2">
      <c r="A80" s="566" t="s">
        <v>281</v>
      </c>
      <c r="B80" s="570">
        <v>36994.6</v>
      </c>
      <c r="C80" s="418">
        <v>36358.1</v>
      </c>
      <c r="D80" s="297"/>
      <c r="E80" s="418">
        <v>36994.6</v>
      </c>
      <c r="F80" s="300">
        <v>1</v>
      </c>
    </row>
    <row r="81" spans="1:6" ht="60" x14ac:dyDescent="0.25">
      <c r="A81" s="514" t="s">
        <v>340</v>
      </c>
      <c r="B81" s="570">
        <v>36994.6</v>
      </c>
      <c r="C81" s="418">
        <v>36358.1</v>
      </c>
      <c r="D81" s="302"/>
      <c r="E81" s="524"/>
      <c r="F81" s="300"/>
    </row>
    <row r="82" spans="1:6" ht="42.75" x14ac:dyDescent="0.2">
      <c r="A82" s="564" t="s">
        <v>299</v>
      </c>
      <c r="B82" s="418">
        <v>279098.2</v>
      </c>
      <c r="C82" s="418">
        <v>227733.1</v>
      </c>
      <c r="D82" s="297"/>
      <c r="E82" s="418">
        <v>279098.2</v>
      </c>
      <c r="F82" s="300">
        <v>3</v>
      </c>
    </row>
    <row r="83" spans="1:6" ht="60" x14ac:dyDescent="0.2">
      <c r="A83" s="419" t="s">
        <v>339</v>
      </c>
      <c r="B83" s="414">
        <v>276403.09999999998</v>
      </c>
      <c r="C83" s="520">
        <v>227733.1</v>
      </c>
      <c r="D83" s="523"/>
      <c r="E83" s="521"/>
      <c r="F83" s="300"/>
    </row>
    <row r="84" spans="1:6" ht="75" x14ac:dyDescent="0.2">
      <c r="A84" s="419" t="s">
        <v>342</v>
      </c>
      <c r="B84" s="414">
        <v>381</v>
      </c>
      <c r="C84" s="520">
        <v>0</v>
      </c>
      <c r="D84" s="523"/>
      <c r="E84" s="521"/>
      <c r="F84" s="300"/>
    </row>
    <row r="85" spans="1:6" ht="60" x14ac:dyDescent="0.2">
      <c r="A85" s="419" t="s">
        <v>343</v>
      </c>
      <c r="B85" s="414">
        <v>2314.1</v>
      </c>
      <c r="C85" s="520">
        <v>0</v>
      </c>
      <c r="D85" s="523"/>
      <c r="E85" s="521"/>
      <c r="F85" s="300"/>
    </row>
    <row r="86" spans="1:6" ht="42.75" x14ac:dyDescent="0.2">
      <c r="A86" s="566" t="s">
        <v>269</v>
      </c>
      <c r="B86" s="570">
        <v>94178.6</v>
      </c>
      <c r="C86" s="300">
        <v>0</v>
      </c>
      <c r="D86" s="301"/>
      <c r="E86" s="300">
        <v>136362.4</v>
      </c>
      <c r="F86" s="300">
        <v>5</v>
      </c>
    </row>
    <row r="87" spans="1:6" ht="75" x14ac:dyDescent="0.25">
      <c r="A87" s="419" t="s">
        <v>334</v>
      </c>
      <c r="B87" s="525">
        <v>8829.7000000000007</v>
      </c>
      <c r="C87" s="299"/>
      <c r="D87" s="516"/>
      <c r="E87" s="299"/>
      <c r="F87" s="300"/>
    </row>
    <row r="88" spans="1:6" ht="45" x14ac:dyDescent="0.25">
      <c r="A88" s="419" t="s">
        <v>335</v>
      </c>
      <c r="B88" s="525">
        <v>4491.1000000000004</v>
      </c>
      <c r="C88" s="299"/>
      <c r="D88" s="516"/>
      <c r="E88" s="299"/>
      <c r="F88" s="300"/>
    </row>
    <row r="89" spans="1:6" ht="60" x14ac:dyDescent="0.25">
      <c r="A89" s="419" t="s">
        <v>336</v>
      </c>
      <c r="B89" s="525">
        <v>25242.799999999999</v>
      </c>
      <c r="C89" s="299"/>
      <c r="D89" s="516"/>
      <c r="E89" s="299"/>
      <c r="F89" s="300"/>
    </row>
    <row r="90" spans="1:6" ht="60" x14ac:dyDescent="0.25">
      <c r="A90" s="419" t="s">
        <v>337</v>
      </c>
      <c r="B90" s="525">
        <v>13212.1</v>
      </c>
      <c r="C90" s="299"/>
      <c r="D90" s="516"/>
      <c r="E90" s="299"/>
      <c r="F90" s="300"/>
    </row>
    <row r="91" spans="1:6" ht="75" x14ac:dyDescent="0.25">
      <c r="A91" s="419" t="s">
        <v>338</v>
      </c>
      <c r="B91" s="525">
        <v>42402.9</v>
      </c>
      <c r="C91" s="299"/>
      <c r="D91" s="516"/>
      <c r="E91" s="299"/>
      <c r="F91" s="300"/>
    </row>
    <row r="92" spans="1:6" ht="28.5" x14ac:dyDescent="0.2">
      <c r="A92" s="564" t="s">
        <v>286</v>
      </c>
      <c r="B92" s="565">
        <v>0</v>
      </c>
      <c r="C92" s="565">
        <v>0</v>
      </c>
      <c r="D92" s="297"/>
      <c r="E92" s="418">
        <v>5646.3</v>
      </c>
      <c r="F92" s="300" t="s">
        <v>218</v>
      </c>
    </row>
    <row r="93" spans="1:6" ht="21.75" customHeight="1" x14ac:dyDescent="0.2">
      <c r="A93" s="564" t="s">
        <v>300</v>
      </c>
      <c r="B93" s="418">
        <v>40342.9</v>
      </c>
      <c r="C93" s="565">
        <v>0</v>
      </c>
      <c r="D93" s="297"/>
      <c r="E93" s="418">
        <v>54865.7</v>
      </c>
      <c r="F93" s="300">
        <v>1</v>
      </c>
    </row>
    <row r="94" spans="1:6" ht="28.5" x14ac:dyDescent="0.2">
      <c r="A94" s="564" t="s">
        <v>270</v>
      </c>
      <c r="B94" s="418">
        <v>0</v>
      </c>
      <c r="C94" s="565">
        <v>0</v>
      </c>
      <c r="D94" s="297"/>
      <c r="E94" s="418">
        <v>22694.7</v>
      </c>
      <c r="F94" s="300" t="s">
        <v>218</v>
      </c>
    </row>
    <row r="95" spans="1:6" ht="15" x14ac:dyDescent="0.25">
      <c r="A95" s="514"/>
      <c r="B95" s="571"/>
      <c r="C95" s="299"/>
      <c r="D95" s="516"/>
      <c r="E95" s="299"/>
      <c r="F95" s="300"/>
    </row>
    <row r="96" spans="1:6" ht="28.5" x14ac:dyDescent="0.2">
      <c r="A96" s="564" t="s">
        <v>274</v>
      </c>
      <c r="B96" s="418">
        <v>0</v>
      </c>
      <c r="C96" s="565">
        <v>0</v>
      </c>
      <c r="D96" s="297"/>
      <c r="E96" s="418">
        <v>2650.9</v>
      </c>
      <c r="F96" s="300" t="s">
        <v>218</v>
      </c>
    </row>
    <row r="97" spans="1:6" ht="28.5" x14ac:dyDescent="0.2">
      <c r="A97" s="564" t="s">
        <v>301</v>
      </c>
      <c r="B97" s="418">
        <v>0</v>
      </c>
      <c r="C97" s="565">
        <v>0</v>
      </c>
      <c r="D97" s="297"/>
      <c r="E97" s="418">
        <v>5794</v>
      </c>
      <c r="F97" s="300" t="s">
        <v>218</v>
      </c>
    </row>
    <row r="98" spans="1:6" ht="13.5" customHeight="1" x14ac:dyDescent="0.25">
      <c r="A98" s="514"/>
      <c r="B98" s="299"/>
      <c r="C98" s="299"/>
      <c r="D98" s="516"/>
      <c r="E98" s="299"/>
      <c r="F98" s="300"/>
    </row>
    <row r="99" spans="1:6" ht="18.75" customHeight="1" x14ac:dyDescent="0.2">
      <c r="A99" s="564" t="s">
        <v>275</v>
      </c>
      <c r="B99" s="418">
        <v>136635.70000000001</v>
      </c>
      <c r="C99" s="565">
        <v>0</v>
      </c>
      <c r="D99" s="297"/>
      <c r="E99" s="418">
        <v>146351.79999999999</v>
      </c>
      <c r="F99" s="300">
        <v>3</v>
      </c>
    </row>
    <row r="100" spans="1:6" ht="45" x14ac:dyDescent="0.25">
      <c r="A100" s="514" t="s">
        <v>361</v>
      </c>
      <c r="B100" s="521">
        <v>24000.1</v>
      </c>
      <c r="C100" s="299"/>
      <c r="D100" s="516"/>
      <c r="E100" s="299"/>
      <c r="F100" s="300"/>
    </row>
    <row r="101" spans="1:6" ht="30" x14ac:dyDescent="0.25">
      <c r="A101" s="303" t="s">
        <v>362</v>
      </c>
      <c r="B101" s="521">
        <v>5435.2</v>
      </c>
      <c r="C101" s="299"/>
      <c r="D101" s="516"/>
      <c r="E101" s="299"/>
      <c r="F101" s="300"/>
    </row>
    <row r="102" spans="1:6" ht="60" x14ac:dyDescent="0.25">
      <c r="A102" s="303" t="s">
        <v>360</v>
      </c>
      <c r="B102" s="521"/>
      <c r="C102" s="299"/>
      <c r="D102" s="516"/>
      <c r="E102" s="299"/>
      <c r="F102" s="300"/>
    </row>
    <row r="103" spans="1:6" ht="30" x14ac:dyDescent="0.25">
      <c r="A103" s="424" t="s">
        <v>363</v>
      </c>
      <c r="B103" s="521"/>
      <c r="C103" s="299"/>
      <c r="D103" s="516"/>
      <c r="E103" s="299"/>
      <c r="F103" s="300"/>
    </row>
    <row r="104" spans="1:6" ht="45" x14ac:dyDescent="0.25">
      <c r="A104" s="425" t="s">
        <v>383</v>
      </c>
      <c r="B104" s="521"/>
      <c r="C104" s="299"/>
      <c r="D104" s="516"/>
      <c r="E104" s="299"/>
      <c r="F104" s="300"/>
    </row>
    <row r="105" spans="1:6" ht="47.25" customHeight="1" x14ac:dyDescent="0.25">
      <c r="A105" s="303" t="s">
        <v>364</v>
      </c>
      <c r="B105" s="521">
        <v>4459.5</v>
      </c>
      <c r="C105" s="299"/>
      <c r="D105" s="516"/>
      <c r="E105" s="299"/>
      <c r="F105" s="300"/>
    </row>
    <row r="106" spans="1:6" ht="57" x14ac:dyDescent="0.2">
      <c r="A106" s="564" t="s">
        <v>276</v>
      </c>
      <c r="B106" s="418">
        <v>822.5</v>
      </c>
      <c r="C106" s="418">
        <v>0</v>
      </c>
      <c r="D106" s="297"/>
      <c r="E106" s="418">
        <v>4776</v>
      </c>
      <c r="F106" s="300">
        <v>7</v>
      </c>
    </row>
    <row r="107" spans="1:6" ht="57" x14ac:dyDescent="0.25">
      <c r="A107" s="564" t="s">
        <v>277</v>
      </c>
      <c r="B107" s="418">
        <v>1134.5</v>
      </c>
      <c r="C107" s="418">
        <v>0</v>
      </c>
      <c r="D107" s="516"/>
      <c r="E107" s="418">
        <v>5087.2</v>
      </c>
      <c r="F107" s="300">
        <v>6</v>
      </c>
    </row>
    <row r="108" spans="1:6" ht="42.75" x14ac:dyDescent="0.2">
      <c r="A108" s="564" t="s">
        <v>278</v>
      </c>
      <c r="B108" s="418">
        <v>2669.4</v>
      </c>
      <c r="C108" s="418">
        <v>0</v>
      </c>
      <c r="D108" s="297"/>
      <c r="E108" s="418">
        <v>6705.1</v>
      </c>
      <c r="F108" s="300">
        <v>8</v>
      </c>
    </row>
    <row r="109" spans="1:6" ht="57" x14ac:dyDescent="0.2">
      <c r="A109" s="564" t="s">
        <v>279</v>
      </c>
      <c r="B109" s="418">
        <v>1008.6</v>
      </c>
      <c r="C109" s="418">
        <v>0</v>
      </c>
      <c r="D109" s="297"/>
      <c r="E109" s="418">
        <v>4602.6000000000004</v>
      </c>
      <c r="F109" s="300">
        <v>6</v>
      </c>
    </row>
    <row r="110" spans="1:6" ht="57" x14ac:dyDescent="0.2">
      <c r="A110" s="564" t="s">
        <v>280</v>
      </c>
      <c r="B110" s="418">
        <v>6118.3</v>
      </c>
      <c r="C110" s="418">
        <v>0</v>
      </c>
      <c r="D110" s="297"/>
      <c r="E110" s="418">
        <v>15533.7</v>
      </c>
      <c r="F110" s="300">
        <v>6</v>
      </c>
    </row>
    <row r="111" spans="1:6" ht="57" x14ac:dyDescent="0.2">
      <c r="A111" s="564" t="s">
        <v>272</v>
      </c>
      <c r="B111" s="418">
        <v>3193.4</v>
      </c>
      <c r="C111" s="418">
        <v>0</v>
      </c>
      <c r="D111" s="297"/>
      <c r="E111" s="418">
        <v>7557.7</v>
      </c>
      <c r="F111" s="300">
        <v>7</v>
      </c>
    </row>
    <row r="112" spans="1:6" ht="57" x14ac:dyDescent="0.2">
      <c r="A112" s="564" t="s">
        <v>273</v>
      </c>
      <c r="B112" s="418">
        <v>13942.2</v>
      </c>
      <c r="C112" s="418"/>
      <c r="D112" s="297"/>
      <c r="E112" s="418">
        <v>17953.8</v>
      </c>
      <c r="F112" s="300">
        <v>12</v>
      </c>
    </row>
    <row r="113" spans="1:5" ht="15.75" x14ac:dyDescent="0.25">
      <c r="A113" s="515"/>
      <c r="B113" s="408">
        <f>B33+B34+B35+B38+B41+B43+B45+B47+B53+B56+B58+B59+B72+B74+B80+B82+B86+B92+B93+B94+B96+B97+B99+B106+B107+B108+B109+B110+B111+B112</f>
        <v>2324933.7999999998</v>
      </c>
      <c r="C113" s="515"/>
      <c r="D113" s="515"/>
      <c r="E113" s="515"/>
    </row>
  </sheetData>
  <customSheetViews>
    <customSheetView guid="{EB9C9A86-B58A-443D-8E32-0F9B9A284E4A}" scale="66" showPageBreaks="1" fitToPage="1" hiddenColumns="1">
      <pane ySplit="5" topLeftCell="A24" activePane="bottomLeft" state="frozen"/>
      <selection pane="bottomLeft" activeCell="A29" sqref="A29:C29"/>
      <pageMargins left="0.70866141732283472" right="0.70866141732283472" top="0.55118110236220474" bottom="0.55118110236220474" header="0.31496062992125984" footer="0.31496062992125984"/>
      <pageSetup paperSize="9" scale="59" fitToHeight="0" orientation="landscape" r:id="rId1"/>
    </customSheetView>
  </customSheetViews>
  <mergeCells count="52">
    <mergeCell ref="AF14:AF21"/>
    <mergeCell ref="AG14:AG21"/>
    <mergeCell ref="AH14:AH21"/>
    <mergeCell ref="D4:AH4"/>
    <mergeCell ref="AA14:AA21"/>
    <mergeCell ref="AB14:AB21"/>
    <mergeCell ref="AC14:AC21"/>
    <mergeCell ref="AD14:AD21"/>
    <mergeCell ref="AE14:AE21"/>
    <mergeCell ref="V14:V21"/>
    <mergeCell ref="W14:W21"/>
    <mergeCell ref="X14:X21"/>
    <mergeCell ref="Y14:Y21"/>
    <mergeCell ref="Z14:Z21"/>
    <mergeCell ref="N14:N21"/>
    <mergeCell ref="P14:P21"/>
    <mergeCell ref="U14:U21"/>
    <mergeCell ref="M14:M21"/>
    <mergeCell ref="E14:E21"/>
    <mergeCell ref="K14:K21"/>
    <mergeCell ref="F14:F21"/>
    <mergeCell ref="G14:G21"/>
    <mergeCell ref="I14:I21"/>
    <mergeCell ref="J14:J21"/>
    <mergeCell ref="L14:L21"/>
    <mergeCell ref="O14:O21"/>
    <mergeCell ref="A6:B6"/>
    <mergeCell ref="D7:D9"/>
    <mergeCell ref="A8:C8"/>
    <mergeCell ref="A9:C9"/>
    <mergeCell ref="A2:AI2"/>
    <mergeCell ref="A3:AI3"/>
    <mergeCell ref="A4:A5"/>
    <mergeCell ref="B4:B5"/>
    <mergeCell ref="C4:C5"/>
    <mergeCell ref="AI4:AI5"/>
    <mergeCell ref="AI14:AI21"/>
    <mergeCell ref="AI11:AI12"/>
    <mergeCell ref="AI7:AI9"/>
    <mergeCell ref="A10:B10"/>
    <mergeCell ref="A13:B13"/>
    <mergeCell ref="A12:C12"/>
    <mergeCell ref="A17:C17"/>
    <mergeCell ref="A18:C18"/>
    <mergeCell ref="A19:C19"/>
    <mergeCell ref="H14:H21"/>
    <mergeCell ref="A15:C15"/>
    <mergeCell ref="A16:C16"/>
    <mergeCell ref="A20:C20"/>
    <mergeCell ref="A21:C21"/>
    <mergeCell ref="Q14:Q21"/>
    <mergeCell ref="S14:S21"/>
  </mergeCells>
  <pageMargins left="0.70866141732283472" right="0.70866141732283472" top="0.55118110236220474" bottom="0.55118110236220474" header="0.31496062992125984" footer="0.31496062992125984"/>
  <pageSetup paperSize="9" scale="10" fitToWidth="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topLeftCell="A106" zoomScale="70" zoomScaleNormal="70" zoomScaleSheetLayoutView="80" workbookViewId="0">
      <selection activeCell="E26" sqref="E26"/>
    </sheetView>
  </sheetViews>
  <sheetFormatPr defaultColWidth="11" defaultRowHeight="12.75" x14ac:dyDescent="0.2"/>
  <cols>
    <col min="1" max="1" width="9.28515625" style="10" customWidth="1"/>
    <col min="2" max="2" width="30.5703125" style="10" customWidth="1"/>
    <col min="3" max="3" width="11" style="130" hidden="1" customWidth="1"/>
    <col min="4" max="4" width="10.5703125" style="130" customWidth="1"/>
    <col min="5" max="5" width="14" style="186" customWidth="1"/>
    <col min="6" max="6" width="13.85546875" style="186" customWidth="1"/>
    <col min="7" max="7" width="13.7109375" style="186" customWidth="1"/>
    <col min="8" max="8" width="12.5703125" style="186" customWidth="1"/>
    <col min="9" max="9" width="14.42578125" style="186" customWidth="1"/>
    <col min="10" max="10" width="5.140625" style="186" customWidth="1"/>
    <col min="11" max="11" width="4.7109375" style="10" customWidth="1"/>
    <col min="12" max="12" width="12.42578125" style="10" customWidth="1"/>
    <col min="13" max="13" width="15.7109375" style="10" customWidth="1"/>
    <col min="14" max="14" width="11.28515625" style="10" customWidth="1"/>
    <col min="15" max="15" width="14" style="137" customWidth="1"/>
    <col min="16" max="16" width="11.140625" style="10" customWidth="1"/>
    <col min="17" max="17" width="15" style="10" customWidth="1"/>
    <col min="18" max="18" width="15.42578125" style="10" customWidth="1"/>
    <col min="19" max="19" width="11.5703125" style="10" customWidth="1"/>
    <col min="20" max="20" width="13.85546875" style="10" customWidth="1"/>
    <col min="21" max="21" width="13.28515625" style="10" customWidth="1"/>
    <col min="22" max="22" width="15.5703125" style="10" customWidth="1"/>
    <col min="23" max="23" width="14.7109375" style="10" customWidth="1"/>
    <col min="24" max="24" width="14.42578125" style="10" customWidth="1"/>
    <col min="25" max="25" width="11" style="10"/>
    <col min="26" max="26" width="14.5703125" style="10" customWidth="1"/>
    <col min="27" max="27" width="11" style="10"/>
    <col min="28" max="28" width="20.140625" style="10" bestFit="1" customWidth="1"/>
    <col min="29" max="16384" width="11" style="10"/>
  </cols>
  <sheetData>
    <row r="1" spans="1:22" ht="12.95" customHeight="1" x14ac:dyDescent="0.2"/>
    <row r="2" spans="1:22" ht="90.75" customHeight="1" x14ac:dyDescent="0.25">
      <c r="P2" s="672" t="s">
        <v>724</v>
      </c>
      <c r="Q2" s="673"/>
      <c r="R2" s="673"/>
      <c r="S2" s="673"/>
      <c r="T2" s="673"/>
      <c r="U2" s="673"/>
    </row>
    <row r="3" spans="1:22" ht="5.25" customHeight="1" x14ac:dyDescent="0.25">
      <c r="R3" s="185"/>
      <c r="S3" s="185"/>
      <c r="T3" s="185"/>
      <c r="U3" s="185"/>
    </row>
    <row r="4" spans="1:22" ht="8.25" customHeight="1" x14ac:dyDescent="0.25">
      <c r="R4" s="185"/>
      <c r="S4" s="185"/>
      <c r="T4" s="185"/>
      <c r="U4" s="185"/>
    </row>
    <row r="5" spans="1:22" ht="5.25" customHeight="1" x14ac:dyDescent="0.25">
      <c r="R5" s="185"/>
      <c r="S5" s="185"/>
      <c r="T5" s="185"/>
      <c r="U5" s="185"/>
    </row>
    <row r="6" spans="1:22" ht="3" customHeight="1" x14ac:dyDescent="0.2"/>
    <row r="7" spans="1:22" ht="3" customHeight="1" x14ac:dyDescent="0.2"/>
    <row r="8" spans="1:22" ht="15.6" customHeight="1" x14ac:dyDescent="0.2">
      <c r="A8" s="688" t="s">
        <v>35</v>
      </c>
      <c r="B8" s="688"/>
      <c r="C8" s="688"/>
      <c r="D8" s="688"/>
      <c r="E8" s="688"/>
      <c r="F8" s="688"/>
      <c r="G8" s="688"/>
      <c r="H8" s="688"/>
      <c r="I8" s="688"/>
      <c r="J8" s="688"/>
      <c r="K8" s="688"/>
      <c r="L8" s="688"/>
      <c r="M8" s="688"/>
      <c r="N8" s="688"/>
      <c r="O8" s="688"/>
      <c r="P8" s="688"/>
      <c r="Q8" s="688"/>
      <c r="R8" s="688"/>
      <c r="S8" s="688"/>
      <c r="T8" s="688"/>
      <c r="U8" s="688"/>
      <c r="V8" s="138"/>
    </row>
    <row r="9" spans="1:22" ht="15.6" customHeight="1" x14ac:dyDescent="0.2">
      <c r="A9" s="688" t="s">
        <v>287</v>
      </c>
      <c r="B9" s="688"/>
      <c r="C9" s="688"/>
      <c r="D9" s="688"/>
      <c r="E9" s="688"/>
      <c r="F9" s="688"/>
      <c r="G9" s="688"/>
      <c r="H9" s="688"/>
      <c r="I9" s="688"/>
      <c r="J9" s="688"/>
      <c r="K9" s="688"/>
      <c r="L9" s="688"/>
      <c r="M9" s="688"/>
      <c r="N9" s="688"/>
      <c r="O9" s="688"/>
      <c r="P9" s="688"/>
      <c r="Q9" s="688"/>
      <c r="R9" s="688"/>
      <c r="S9" s="688"/>
      <c r="T9" s="688"/>
      <c r="U9" s="688"/>
      <c r="V9" s="138"/>
    </row>
    <row r="10" spans="1:22" ht="12.75" customHeight="1" x14ac:dyDescent="0.2">
      <c r="A10" s="184"/>
    </row>
    <row r="11" spans="1:22" ht="13.15" customHeight="1" x14ac:dyDescent="0.2">
      <c r="A11" s="689" t="s">
        <v>456</v>
      </c>
      <c r="B11" s="689"/>
      <c r="C11" s="689"/>
      <c r="D11" s="689"/>
      <c r="E11" s="689"/>
      <c r="F11" s="689"/>
      <c r="G11" s="689"/>
      <c r="H11" s="689"/>
      <c r="I11" s="689"/>
      <c r="J11" s="689"/>
      <c r="K11" s="689"/>
      <c r="L11" s="689"/>
      <c r="M11" s="689"/>
      <c r="N11" s="689"/>
      <c r="O11" s="689"/>
      <c r="P11" s="689"/>
      <c r="Q11" s="689"/>
      <c r="R11" s="689"/>
      <c r="S11" s="689"/>
      <c r="T11" s="689"/>
      <c r="U11" s="689"/>
      <c r="V11" s="139"/>
    </row>
    <row r="12" spans="1:22" ht="18" customHeight="1" x14ac:dyDescent="0.2"/>
    <row r="13" spans="1:22" ht="12.75" customHeight="1" x14ac:dyDescent="0.2">
      <c r="A13" s="10" t="s">
        <v>512</v>
      </c>
    </row>
    <row r="14" spans="1:22" ht="53.25" customHeight="1" x14ac:dyDescent="0.2">
      <c r="A14" s="702" t="s">
        <v>33</v>
      </c>
      <c r="B14" s="702" t="s">
        <v>34</v>
      </c>
      <c r="C14" s="705"/>
      <c r="D14" s="706"/>
      <c r="E14" s="693" t="s">
        <v>47</v>
      </c>
      <c r="F14" s="698"/>
      <c r="G14" s="719" t="s">
        <v>176</v>
      </c>
      <c r="H14" s="723" t="s">
        <v>219</v>
      </c>
      <c r="I14" s="724"/>
      <c r="J14" s="723"/>
      <c r="K14" s="724"/>
      <c r="L14" s="692" t="s">
        <v>200</v>
      </c>
      <c r="M14" s="693"/>
      <c r="N14" s="693" t="s">
        <v>50</v>
      </c>
      <c r="O14" s="697"/>
      <c r="P14" s="697"/>
      <c r="Q14" s="697"/>
      <c r="R14" s="697"/>
      <c r="S14" s="697"/>
      <c r="T14" s="697"/>
      <c r="U14" s="698"/>
      <c r="V14" s="140"/>
    </row>
    <row r="15" spans="1:22" ht="31.9" customHeight="1" x14ac:dyDescent="0.2">
      <c r="A15" s="703"/>
      <c r="B15" s="703"/>
      <c r="C15" s="707"/>
      <c r="D15" s="708"/>
      <c r="E15" s="692" t="s">
        <v>49</v>
      </c>
      <c r="F15" s="692" t="s">
        <v>48</v>
      </c>
      <c r="G15" s="729"/>
      <c r="H15" s="725"/>
      <c r="I15" s="726"/>
      <c r="J15" s="725"/>
      <c r="K15" s="726"/>
      <c r="L15" s="692" t="s">
        <v>719</v>
      </c>
      <c r="M15" s="692" t="s">
        <v>720</v>
      </c>
      <c r="N15" s="695"/>
      <c r="O15" s="696"/>
      <c r="P15" s="694" t="s">
        <v>37</v>
      </c>
      <c r="Q15" s="694"/>
      <c r="R15" s="694"/>
      <c r="S15" s="699" t="s">
        <v>52</v>
      </c>
      <c r="T15" s="700"/>
      <c r="U15" s="701"/>
      <c r="V15" s="141"/>
    </row>
    <row r="16" spans="1:22" ht="125.25" customHeight="1" x14ac:dyDescent="0.2">
      <c r="A16" s="704"/>
      <c r="B16" s="704"/>
      <c r="C16" s="709"/>
      <c r="D16" s="710"/>
      <c r="E16" s="692"/>
      <c r="F16" s="692"/>
      <c r="G16" s="730"/>
      <c r="H16" s="727"/>
      <c r="I16" s="728"/>
      <c r="J16" s="727"/>
      <c r="K16" s="728"/>
      <c r="L16" s="692"/>
      <c r="M16" s="692"/>
      <c r="N16" s="444"/>
      <c r="O16" s="444"/>
      <c r="P16" s="46" t="s">
        <v>53</v>
      </c>
      <c r="Q16" s="505" t="s">
        <v>220</v>
      </c>
      <c r="R16" s="505" t="s">
        <v>51</v>
      </c>
      <c r="S16" s="46" t="s">
        <v>53</v>
      </c>
      <c r="T16" s="505" t="s">
        <v>220</v>
      </c>
      <c r="U16" s="505" t="s">
        <v>51</v>
      </c>
    </row>
    <row r="17" spans="1:25" ht="35.25" customHeight="1" x14ac:dyDescent="0.2">
      <c r="A17" s="508">
        <v>1</v>
      </c>
      <c r="B17" s="508">
        <v>2</v>
      </c>
      <c r="C17" s="509"/>
      <c r="D17" s="142">
        <v>3</v>
      </c>
      <c r="E17" s="505">
        <v>4</v>
      </c>
      <c r="F17" s="505">
        <v>5</v>
      </c>
      <c r="G17" s="511">
        <v>6</v>
      </c>
      <c r="H17" s="693">
        <v>7</v>
      </c>
      <c r="I17" s="698"/>
      <c r="J17" s="693">
        <v>8</v>
      </c>
      <c r="K17" s="698"/>
      <c r="L17" s="506">
        <v>9</v>
      </c>
      <c r="M17" s="506">
        <v>10</v>
      </c>
      <c r="N17" s="506">
        <v>11</v>
      </c>
      <c r="O17" s="46">
        <v>12</v>
      </c>
      <c r="P17" s="46">
        <v>13</v>
      </c>
      <c r="Q17" s="46">
        <v>14</v>
      </c>
      <c r="R17" s="505">
        <v>15</v>
      </c>
      <c r="S17" s="46">
        <v>16</v>
      </c>
      <c r="T17" s="143">
        <v>17</v>
      </c>
      <c r="U17" s="505">
        <v>18</v>
      </c>
    </row>
    <row r="18" spans="1:25" ht="56.25" customHeight="1" x14ac:dyDescent="0.2">
      <c r="A18" s="525">
        <v>557</v>
      </c>
      <c r="B18" s="525" t="s">
        <v>268</v>
      </c>
      <c r="C18" s="144"/>
      <c r="D18" s="145"/>
      <c r="E18" s="193">
        <v>108129.5</v>
      </c>
      <c r="F18" s="322">
        <v>23312.3</v>
      </c>
      <c r="G18" s="322">
        <v>14263.5</v>
      </c>
      <c r="H18" s="670">
        <v>81318.2</v>
      </c>
      <c r="I18" s="671"/>
      <c r="J18" s="683"/>
      <c r="K18" s="684"/>
      <c r="L18" s="503">
        <v>71789</v>
      </c>
      <c r="M18" s="503">
        <v>65518</v>
      </c>
      <c r="N18" s="146"/>
      <c r="O18" s="146"/>
      <c r="P18" s="146">
        <v>65832.5</v>
      </c>
      <c r="Q18" s="146">
        <v>0</v>
      </c>
      <c r="R18" s="146">
        <v>12695.5</v>
      </c>
      <c r="S18" s="322">
        <v>102149.8</v>
      </c>
      <c r="T18" s="322">
        <v>641.79999999999995</v>
      </c>
      <c r="U18" s="146">
        <v>23306.6</v>
      </c>
      <c r="V18" s="528"/>
      <c r="W18" s="147"/>
    </row>
    <row r="19" spans="1:25" ht="57" customHeight="1" x14ac:dyDescent="0.2">
      <c r="A19" s="525">
        <v>559</v>
      </c>
      <c r="B19" s="525" t="s">
        <v>292</v>
      </c>
      <c r="C19" s="144"/>
      <c r="D19" s="145"/>
      <c r="E19" s="193">
        <v>12629.1</v>
      </c>
      <c r="F19" s="322">
        <v>312</v>
      </c>
      <c r="G19" s="322">
        <v>4722.6000000000004</v>
      </c>
      <c r="H19" s="670">
        <v>12201.3</v>
      </c>
      <c r="I19" s="671"/>
      <c r="J19" s="683"/>
      <c r="K19" s="684"/>
      <c r="L19" s="503">
        <v>8923</v>
      </c>
      <c r="M19" s="503">
        <v>8924</v>
      </c>
      <c r="N19" s="146"/>
      <c r="O19" s="146"/>
      <c r="P19" s="146">
        <v>8145.8</v>
      </c>
      <c r="Q19" s="146">
        <v>115.8</v>
      </c>
      <c r="R19" s="146">
        <v>0</v>
      </c>
      <c r="S19" s="322">
        <v>12418.7</v>
      </c>
      <c r="T19" s="322">
        <v>115.8</v>
      </c>
      <c r="U19" s="146">
        <v>312</v>
      </c>
      <c r="V19" s="528"/>
      <c r="W19" s="147"/>
    </row>
    <row r="20" spans="1:25" ht="31.5" customHeight="1" x14ac:dyDescent="0.2">
      <c r="A20" s="525">
        <v>560</v>
      </c>
      <c r="B20" s="526" t="s">
        <v>291</v>
      </c>
      <c r="C20" s="144"/>
      <c r="D20" s="145"/>
      <c r="E20" s="193">
        <v>241300.6</v>
      </c>
      <c r="F20" s="322">
        <v>2731.1</v>
      </c>
      <c r="G20" s="322">
        <v>10284.6</v>
      </c>
      <c r="H20" s="670">
        <v>166543.4</v>
      </c>
      <c r="I20" s="671"/>
      <c r="J20" s="683"/>
      <c r="K20" s="684"/>
      <c r="L20" s="503">
        <v>37423</v>
      </c>
      <c r="M20" s="503">
        <v>34964</v>
      </c>
      <c r="N20" s="146"/>
      <c r="O20" s="146"/>
      <c r="P20" s="146">
        <v>157590.70000000001</v>
      </c>
      <c r="Q20" s="146">
        <v>6824.9</v>
      </c>
      <c r="R20" s="146">
        <v>2066.5</v>
      </c>
      <c r="S20" s="322">
        <v>237274.1</v>
      </c>
      <c r="T20" s="322">
        <v>36163.5</v>
      </c>
      <c r="U20" s="146">
        <v>2731.1</v>
      </c>
      <c r="V20" s="528"/>
      <c r="W20" s="147"/>
      <c r="X20" s="492"/>
      <c r="Y20" s="147"/>
    </row>
    <row r="21" spans="1:25" ht="45" customHeight="1" x14ac:dyDescent="0.2">
      <c r="A21" s="525">
        <v>601</v>
      </c>
      <c r="B21" s="525" t="s">
        <v>271</v>
      </c>
      <c r="C21" s="148"/>
      <c r="D21" s="149"/>
      <c r="E21" s="193">
        <v>157477.20000000001</v>
      </c>
      <c r="F21" s="322">
        <v>105450.7</v>
      </c>
      <c r="G21" s="573">
        <v>17950.2</v>
      </c>
      <c r="H21" s="713">
        <v>52026.5</v>
      </c>
      <c r="I21" s="714"/>
      <c r="J21" s="711"/>
      <c r="K21" s="712"/>
      <c r="L21" s="503">
        <v>41147</v>
      </c>
      <c r="M21" s="510">
        <v>21744</v>
      </c>
      <c r="N21" s="146"/>
      <c r="O21" s="146"/>
      <c r="P21" s="146">
        <v>107897.5</v>
      </c>
      <c r="Q21" s="146">
        <v>5024.8</v>
      </c>
      <c r="R21" s="146">
        <v>62489.9</v>
      </c>
      <c r="S21" s="322">
        <v>152015.1</v>
      </c>
      <c r="T21" s="322">
        <v>18885.7</v>
      </c>
      <c r="U21" s="146">
        <v>81993.5</v>
      </c>
      <c r="V21" s="528"/>
      <c r="W21" s="147"/>
    </row>
    <row r="22" spans="1:25" ht="45" customHeight="1" x14ac:dyDescent="0.2">
      <c r="A22" s="525">
        <v>602</v>
      </c>
      <c r="B22" s="525" t="s">
        <v>320</v>
      </c>
      <c r="C22" s="525"/>
      <c r="D22" s="525"/>
      <c r="E22" s="440">
        <v>2280.4</v>
      </c>
      <c r="F22" s="322">
        <v>0</v>
      </c>
      <c r="G22" s="573">
        <v>63.7</v>
      </c>
      <c r="H22" s="713">
        <v>63.7</v>
      </c>
      <c r="I22" s="714"/>
      <c r="J22" s="711"/>
      <c r="K22" s="712"/>
      <c r="L22" s="503">
        <v>2280</v>
      </c>
      <c r="M22" s="510">
        <v>2354</v>
      </c>
      <c r="N22" s="146"/>
      <c r="O22" s="146"/>
      <c r="P22" s="146">
        <v>1966.4</v>
      </c>
      <c r="Q22" s="146">
        <v>0</v>
      </c>
      <c r="R22" s="146">
        <v>0</v>
      </c>
      <c r="S22" s="322">
        <v>2280.4</v>
      </c>
      <c r="T22" s="322">
        <v>0</v>
      </c>
      <c r="U22" s="146">
        <v>0</v>
      </c>
      <c r="V22" s="528"/>
      <c r="W22" s="147"/>
    </row>
    <row r="23" spans="1:25" ht="33.75" customHeight="1" x14ac:dyDescent="0.2">
      <c r="A23" s="525">
        <v>603</v>
      </c>
      <c r="B23" s="523" t="s">
        <v>293</v>
      </c>
      <c r="C23" s="148"/>
      <c r="D23" s="149"/>
      <c r="E23" s="574">
        <v>17049.7</v>
      </c>
      <c r="F23" s="573">
        <v>3547.8</v>
      </c>
      <c r="G23" s="575">
        <v>6561</v>
      </c>
      <c r="H23" s="733">
        <v>13501.9</v>
      </c>
      <c r="I23" s="734"/>
      <c r="J23" s="690"/>
      <c r="K23" s="691"/>
      <c r="L23" s="503" t="s">
        <v>722</v>
      </c>
      <c r="M23" s="503" t="s">
        <v>722</v>
      </c>
      <c r="N23" s="146"/>
      <c r="O23" s="146"/>
      <c r="P23" s="146">
        <v>12970.3</v>
      </c>
      <c r="Q23" s="146">
        <v>0</v>
      </c>
      <c r="R23" s="146">
        <v>2608.9</v>
      </c>
      <c r="S23" s="322">
        <v>16614</v>
      </c>
      <c r="T23" s="322">
        <v>0</v>
      </c>
      <c r="U23" s="146">
        <v>3547.8</v>
      </c>
      <c r="V23" s="527"/>
      <c r="W23" s="147"/>
    </row>
    <row r="24" spans="1:25" ht="36.75" customHeight="1" x14ac:dyDescent="0.2">
      <c r="A24" s="525">
        <v>604</v>
      </c>
      <c r="B24" s="525" t="s">
        <v>294</v>
      </c>
      <c r="C24" s="144"/>
      <c r="D24" s="145"/>
      <c r="E24" s="193">
        <v>4739.8999999999996</v>
      </c>
      <c r="F24" s="575">
        <v>2059.3000000000002</v>
      </c>
      <c r="G24" s="322">
        <v>655.6</v>
      </c>
      <c r="H24" s="670">
        <v>2680.6</v>
      </c>
      <c r="I24" s="671"/>
      <c r="J24" s="683"/>
      <c r="K24" s="684"/>
      <c r="L24" s="503" t="s">
        <v>722</v>
      </c>
      <c r="M24" s="503" t="s">
        <v>722</v>
      </c>
      <c r="N24" s="146"/>
      <c r="O24" s="146"/>
      <c r="P24" s="146">
        <v>3549.7</v>
      </c>
      <c r="Q24" s="146">
        <v>0</v>
      </c>
      <c r="R24" s="146">
        <v>2040.4</v>
      </c>
      <c r="S24" s="322">
        <v>4693.8999999999996</v>
      </c>
      <c r="T24" s="322">
        <v>280.3</v>
      </c>
      <c r="U24" s="146">
        <v>79.099999999999994</v>
      </c>
      <c r="V24" s="528"/>
      <c r="W24" s="147"/>
    </row>
    <row r="25" spans="1:25" ht="34.5" customHeight="1" x14ac:dyDescent="0.2">
      <c r="A25" s="525">
        <v>605</v>
      </c>
      <c r="B25" s="523" t="s">
        <v>295</v>
      </c>
      <c r="C25" s="148"/>
      <c r="D25" s="149"/>
      <c r="E25" s="193">
        <v>65642.399999999994</v>
      </c>
      <c r="F25" s="322">
        <v>29379.3</v>
      </c>
      <c r="G25" s="322">
        <v>53361.9</v>
      </c>
      <c r="H25" s="670">
        <v>32263.1</v>
      </c>
      <c r="I25" s="671"/>
      <c r="J25" s="740"/>
      <c r="K25" s="741"/>
      <c r="L25" s="503" t="s">
        <v>722</v>
      </c>
      <c r="M25" s="503" t="s">
        <v>722</v>
      </c>
      <c r="N25" s="146"/>
      <c r="O25" s="146"/>
      <c r="P25" s="146">
        <v>26508.6</v>
      </c>
      <c r="Q25" s="146">
        <v>0</v>
      </c>
      <c r="R25" s="146">
        <v>2592</v>
      </c>
      <c r="S25" s="322">
        <v>65510.1</v>
      </c>
      <c r="T25" s="322">
        <v>0</v>
      </c>
      <c r="U25" s="146">
        <v>29379.3</v>
      </c>
      <c r="V25" s="527"/>
      <c r="W25" s="147"/>
    </row>
    <row r="26" spans="1:25" ht="37.5" customHeight="1" x14ac:dyDescent="0.2">
      <c r="A26" s="525">
        <v>606</v>
      </c>
      <c r="B26" s="521" t="s">
        <v>290</v>
      </c>
      <c r="C26" s="144"/>
      <c r="D26" s="145"/>
      <c r="E26" s="193">
        <v>9706.7000000000007</v>
      </c>
      <c r="F26" s="322">
        <v>0</v>
      </c>
      <c r="G26" s="322">
        <v>4941.8999999999996</v>
      </c>
      <c r="H26" s="670">
        <v>9706.7000000000007</v>
      </c>
      <c r="I26" s="671"/>
      <c r="J26" s="683"/>
      <c r="K26" s="684"/>
      <c r="L26" s="503">
        <v>3512.9</v>
      </c>
      <c r="M26" s="503">
        <v>2713</v>
      </c>
      <c r="N26" s="146"/>
      <c r="O26" s="146"/>
      <c r="P26" s="146">
        <v>5186.7</v>
      </c>
      <c r="Q26" s="146">
        <v>0</v>
      </c>
      <c r="R26" s="146">
        <v>0</v>
      </c>
      <c r="S26" s="322">
        <v>9475.7999999999993</v>
      </c>
      <c r="T26" s="322">
        <v>0</v>
      </c>
      <c r="U26" s="146">
        <v>0</v>
      </c>
      <c r="V26" s="527"/>
      <c r="W26" s="147"/>
    </row>
    <row r="27" spans="1:25" ht="37.5" customHeight="1" x14ac:dyDescent="0.2">
      <c r="A27" s="525">
        <v>608</v>
      </c>
      <c r="B27" s="525" t="s">
        <v>296</v>
      </c>
      <c r="C27" s="187"/>
      <c r="D27" s="145"/>
      <c r="E27" s="193">
        <v>23427</v>
      </c>
      <c r="F27" s="322">
        <v>9887.5</v>
      </c>
      <c r="G27" s="322">
        <v>6721.2</v>
      </c>
      <c r="H27" s="670">
        <v>13539.5</v>
      </c>
      <c r="I27" s="671"/>
      <c r="J27" s="683"/>
      <c r="K27" s="684"/>
      <c r="L27" s="503" t="s">
        <v>722</v>
      </c>
      <c r="M27" s="503" t="s">
        <v>722</v>
      </c>
      <c r="N27" s="146"/>
      <c r="O27" s="146"/>
      <c r="P27" s="576">
        <v>14968.9</v>
      </c>
      <c r="Q27" s="576">
        <v>0</v>
      </c>
      <c r="R27" s="576">
        <v>7942.8</v>
      </c>
      <c r="S27" s="577">
        <v>23096.2</v>
      </c>
      <c r="T27" s="577">
        <v>801.8</v>
      </c>
      <c r="U27" s="146">
        <v>9085.7999999999993</v>
      </c>
      <c r="V27" s="528"/>
      <c r="W27" s="147"/>
    </row>
    <row r="28" spans="1:25" ht="48" customHeight="1" x14ac:dyDescent="0.2">
      <c r="A28" s="525">
        <v>685</v>
      </c>
      <c r="B28" s="525" t="s">
        <v>282</v>
      </c>
      <c r="C28" s="187"/>
      <c r="D28" s="145"/>
      <c r="E28" s="193">
        <v>8682.2999999999993</v>
      </c>
      <c r="F28" s="322">
        <v>0</v>
      </c>
      <c r="G28" s="322">
        <v>1613.8</v>
      </c>
      <c r="H28" s="670">
        <v>7989.2</v>
      </c>
      <c r="I28" s="671"/>
      <c r="J28" s="683"/>
      <c r="K28" s="684"/>
      <c r="L28" s="503">
        <v>7443</v>
      </c>
      <c r="M28" s="503">
        <v>6834</v>
      </c>
      <c r="N28" s="146"/>
      <c r="O28" s="146"/>
      <c r="P28" s="576">
        <v>6827.8</v>
      </c>
      <c r="Q28" s="576">
        <v>0</v>
      </c>
      <c r="R28" s="576">
        <v>0</v>
      </c>
      <c r="S28" s="577">
        <v>8612.7000000000007</v>
      </c>
      <c r="T28" s="577">
        <v>103.5</v>
      </c>
      <c r="U28" s="146">
        <v>0</v>
      </c>
      <c r="V28" s="528"/>
      <c r="W28" s="147"/>
    </row>
    <row r="29" spans="1:25" ht="37.5" customHeight="1" x14ac:dyDescent="0.2">
      <c r="A29" s="525">
        <v>686</v>
      </c>
      <c r="B29" s="523" t="s">
        <v>297</v>
      </c>
      <c r="C29" s="187"/>
      <c r="D29" s="145"/>
      <c r="E29" s="193">
        <v>389945.7</v>
      </c>
      <c r="F29" s="322">
        <v>334365.7</v>
      </c>
      <c r="G29" s="322">
        <v>12819.6</v>
      </c>
      <c r="H29" s="670">
        <v>55562.9</v>
      </c>
      <c r="I29" s="671"/>
      <c r="J29" s="683"/>
      <c r="K29" s="684"/>
      <c r="L29" s="503">
        <v>13966</v>
      </c>
      <c r="M29" s="503">
        <v>13030</v>
      </c>
      <c r="N29" s="146"/>
      <c r="O29" s="146"/>
      <c r="P29" s="576">
        <v>292210.2</v>
      </c>
      <c r="Q29" s="576">
        <v>0</v>
      </c>
      <c r="R29" s="576">
        <v>253947.9</v>
      </c>
      <c r="S29" s="577">
        <v>380471.1</v>
      </c>
      <c r="T29" s="577">
        <v>0</v>
      </c>
      <c r="U29" s="146">
        <v>326887.90000000002</v>
      </c>
      <c r="V29" s="527"/>
      <c r="W29" s="147"/>
    </row>
    <row r="30" spans="1:25" ht="37.5" customHeight="1" x14ac:dyDescent="0.2">
      <c r="A30" s="525">
        <v>688</v>
      </c>
      <c r="B30" s="525" t="s">
        <v>283</v>
      </c>
      <c r="C30" s="187"/>
      <c r="D30" s="145"/>
      <c r="E30" s="193">
        <v>34953.5</v>
      </c>
      <c r="F30" s="322">
        <v>34931.4</v>
      </c>
      <c r="G30" s="322">
        <v>3789.1</v>
      </c>
      <c r="H30" s="670">
        <v>22</v>
      </c>
      <c r="I30" s="671"/>
      <c r="J30" s="683"/>
      <c r="K30" s="684"/>
      <c r="L30" s="503" t="s">
        <v>722</v>
      </c>
      <c r="M30" s="503" t="s">
        <v>722</v>
      </c>
      <c r="N30" s="146"/>
      <c r="O30" s="146"/>
      <c r="P30" s="576">
        <v>19622</v>
      </c>
      <c r="Q30" s="576">
        <v>0</v>
      </c>
      <c r="R30" s="576">
        <v>19600</v>
      </c>
      <c r="S30" s="577">
        <v>34953.5</v>
      </c>
      <c r="T30" s="577">
        <v>0</v>
      </c>
      <c r="U30" s="146">
        <v>34931.5</v>
      </c>
      <c r="V30" s="528"/>
      <c r="W30" s="147"/>
    </row>
    <row r="31" spans="1:25" ht="37.5" customHeight="1" x14ac:dyDescent="0.2">
      <c r="A31" s="525">
        <v>691</v>
      </c>
      <c r="B31" s="525" t="s">
        <v>298</v>
      </c>
      <c r="C31" s="187"/>
      <c r="D31" s="145"/>
      <c r="E31" s="193">
        <v>823966</v>
      </c>
      <c r="F31" s="322">
        <v>460348</v>
      </c>
      <c r="G31" s="322">
        <v>207777.1</v>
      </c>
      <c r="H31" s="670">
        <v>362872.9</v>
      </c>
      <c r="I31" s="671"/>
      <c r="J31" s="683"/>
      <c r="K31" s="684"/>
      <c r="L31" s="503">
        <v>5282</v>
      </c>
      <c r="M31" s="503">
        <v>3889</v>
      </c>
      <c r="N31" s="146"/>
      <c r="O31" s="146"/>
      <c r="P31" s="576">
        <v>520805.6</v>
      </c>
      <c r="Q31" s="576">
        <v>198.8</v>
      </c>
      <c r="R31" s="576">
        <v>305492.90000000002</v>
      </c>
      <c r="S31" s="577">
        <v>808575.2</v>
      </c>
      <c r="T31" s="577">
        <v>452.3</v>
      </c>
      <c r="U31" s="146">
        <v>460348</v>
      </c>
      <c r="V31" s="528"/>
      <c r="W31" s="147"/>
    </row>
    <row r="32" spans="1:25" ht="37.5" customHeight="1" x14ac:dyDescent="0.2">
      <c r="A32" s="525">
        <v>692</v>
      </c>
      <c r="B32" s="525" t="s">
        <v>281</v>
      </c>
      <c r="C32" s="187"/>
      <c r="D32" s="145"/>
      <c r="E32" s="193">
        <v>36994.6</v>
      </c>
      <c r="F32" s="322">
        <v>36358.1</v>
      </c>
      <c r="G32" s="322">
        <v>6402.3</v>
      </c>
      <c r="H32" s="670">
        <v>636.5</v>
      </c>
      <c r="I32" s="671"/>
      <c r="J32" s="683"/>
      <c r="K32" s="684"/>
      <c r="L32" s="503" t="s">
        <v>722</v>
      </c>
      <c r="M32" s="503" t="s">
        <v>722</v>
      </c>
      <c r="N32" s="146"/>
      <c r="O32" s="146"/>
      <c r="P32" s="576">
        <v>24605.3</v>
      </c>
      <c r="Q32" s="576">
        <v>0</v>
      </c>
      <c r="R32" s="576">
        <v>24600</v>
      </c>
      <c r="S32" s="577">
        <v>36994.6</v>
      </c>
      <c r="T32" s="577">
        <v>0</v>
      </c>
      <c r="U32" s="146">
        <v>36358.1</v>
      </c>
      <c r="V32" s="528"/>
      <c r="W32" s="147"/>
    </row>
    <row r="33" spans="1:24" ht="51" customHeight="1" x14ac:dyDescent="0.2">
      <c r="A33" s="525">
        <v>696</v>
      </c>
      <c r="B33" s="526" t="s">
        <v>299</v>
      </c>
      <c r="C33" s="187"/>
      <c r="D33" s="145"/>
      <c r="E33" s="193">
        <v>279098.2</v>
      </c>
      <c r="F33" s="322">
        <v>243863.2</v>
      </c>
      <c r="G33" s="322">
        <v>5841.8</v>
      </c>
      <c r="H33" s="670">
        <v>21022.1</v>
      </c>
      <c r="I33" s="735"/>
      <c r="J33" s="683"/>
      <c r="K33" s="684"/>
      <c r="L33" s="503">
        <v>17144</v>
      </c>
      <c r="M33" s="503">
        <v>16483</v>
      </c>
      <c r="N33" s="146"/>
      <c r="O33" s="146"/>
      <c r="P33" s="576">
        <v>199495.8</v>
      </c>
      <c r="Q33" s="576">
        <v>0</v>
      </c>
      <c r="R33" s="576">
        <v>174683.4</v>
      </c>
      <c r="S33" s="577">
        <v>278747.5</v>
      </c>
      <c r="T33" s="577">
        <v>0</v>
      </c>
      <c r="U33" s="146">
        <v>243517.6</v>
      </c>
      <c r="V33" s="528"/>
      <c r="W33" s="147"/>
    </row>
    <row r="34" spans="1:24" ht="63.75" customHeight="1" x14ac:dyDescent="0.2">
      <c r="A34" s="525">
        <v>697</v>
      </c>
      <c r="B34" s="525" t="s">
        <v>269</v>
      </c>
      <c r="C34" s="187"/>
      <c r="D34" s="145"/>
      <c r="E34" s="193">
        <v>136362.4</v>
      </c>
      <c r="F34" s="193">
        <v>8760.2999999999993</v>
      </c>
      <c r="G34" s="322">
        <v>45885.3</v>
      </c>
      <c r="H34" s="670">
        <v>126349.1</v>
      </c>
      <c r="I34" s="671"/>
      <c r="J34" s="683"/>
      <c r="K34" s="684"/>
      <c r="L34" s="503">
        <v>1375</v>
      </c>
      <c r="M34" s="503">
        <v>1138</v>
      </c>
      <c r="N34" s="146"/>
      <c r="O34" s="146"/>
      <c r="P34" s="576">
        <v>84159.1</v>
      </c>
      <c r="Q34" s="576">
        <v>152.4</v>
      </c>
      <c r="R34" s="576">
        <v>2347</v>
      </c>
      <c r="S34" s="577">
        <v>129971</v>
      </c>
      <c r="T34" s="577">
        <v>1290.5</v>
      </c>
      <c r="U34" s="146">
        <v>8670.2999999999993</v>
      </c>
      <c r="V34" s="528"/>
      <c r="W34" s="147"/>
    </row>
    <row r="35" spans="1:24" ht="37.5" customHeight="1" x14ac:dyDescent="0.2">
      <c r="A35" s="525">
        <v>698</v>
      </c>
      <c r="B35" s="525" t="s">
        <v>286</v>
      </c>
      <c r="C35" s="187"/>
      <c r="D35" s="145"/>
      <c r="E35" s="193">
        <v>5646.3</v>
      </c>
      <c r="F35" s="193">
        <v>0</v>
      </c>
      <c r="G35" s="193">
        <v>141.19999999999999</v>
      </c>
      <c r="H35" s="670">
        <v>5646.3</v>
      </c>
      <c r="I35" s="671"/>
      <c r="J35" s="683"/>
      <c r="K35" s="684"/>
      <c r="L35" s="503">
        <v>5493.9</v>
      </c>
      <c r="M35" s="503">
        <v>4253</v>
      </c>
      <c r="N35" s="146"/>
      <c r="O35" s="146"/>
      <c r="P35" s="576">
        <v>3776.9</v>
      </c>
      <c r="Q35" s="576">
        <v>0</v>
      </c>
      <c r="R35" s="576">
        <v>0</v>
      </c>
      <c r="S35" s="577">
        <v>5502.9</v>
      </c>
      <c r="T35" s="577">
        <v>0</v>
      </c>
      <c r="U35" s="146">
        <v>0</v>
      </c>
      <c r="V35" s="528"/>
      <c r="W35" s="147"/>
    </row>
    <row r="36" spans="1:24" ht="37.5" customHeight="1" x14ac:dyDescent="0.2">
      <c r="A36" s="525">
        <v>699</v>
      </c>
      <c r="B36" s="526" t="s">
        <v>300</v>
      </c>
      <c r="C36" s="187"/>
      <c r="D36" s="145"/>
      <c r="E36" s="193">
        <v>54865.7</v>
      </c>
      <c r="F36" s="193">
        <v>33351.5</v>
      </c>
      <c r="G36" s="193">
        <v>35577.599999999999</v>
      </c>
      <c r="H36" s="670">
        <v>20463.900000000001</v>
      </c>
      <c r="I36" s="671"/>
      <c r="J36" s="683"/>
      <c r="K36" s="684"/>
      <c r="L36" s="503">
        <v>14392</v>
      </c>
      <c r="M36" s="503">
        <v>10930</v>
      </c>
      <c r="N36" s="146"/>
      <c r="O36" s="146"/>
      <c r="P36" s="576">
        <v>41846.199999999997</v>
      </c>
      <c r="Q36" s="576">
        <v>211.2</v>
      </c>
      <c r="R36" s="576">
        <v>27625.200000000001</v>
      </c>
      <c r="S36" s="577">
        <v>54724</v>
      </c>
      <c r="T36" s="577">
        <v>1050.3</v>
      </c>
      <c r="U36" s="146">
        <v>33351.4</v>
      </c>
      <c r="V36" s="528"/>
      <c r="W36" s="147"/>
    </row>
    <row r="37" spans="1:24" ht="52.5" customHeight="1" x14ac:dyDescent="0.2">
      <c r="A37" s="525">
        <v>700</v>
      </c>
      <c r="B37" s="525" t="s">
        <v>270</v>
      </c>
      <c r="C37" s="187"/>
      <c r="D37" s="145"/>
      <c r="E37" s="193">
        <v>22694.7</v>
      </c>
      <c r="F37" s="193">
        <v>2.7</v>
      </c>
      <c r="G37" s="192">
        <v>3659.7</v>
      </c>
      <c r="H37" s="746">
        <v>22694.7</v>
      </c>
      <c r="I37" s="746"/>
      <c r="J37" s="683"/>
      <c r="K37" s="684"/>
      <c r="L37" s="503">
        <v>14636</v>
      </c>
      <c r="M37" s="503">
        <v>13865</v>
      </c>
      <c r="N37" s="146"/>
      <c r="O37" s="146"/>
      <c r="P37" s="576">
        <v>14504.1</v>
      </c>
      <c r="Q37" s="576">
        <v>14504.1</v>
      </c>
      <c r="R37" s="576">
        <v>0</v>
      </c>
      <c r="S37" s="577">
        <v>21278.1</v>
      </c>
      <c r="T37" s="577">
        <v>0</v>
      </c>
      <c r="U37" s="146">
        <v>0</v>
      </c>
      <c r="V37" s="528"/>
      <c r="W37" s="147"/>
    </row>
    <row r="38" spans="1:24" ht="45" customHeight="1" x14ac:dyDescent="0.2">
      <c r="A38" s="525">
        <v>701</v>
      </c>
      <c r="B38" s="525" t="s">
        <v>274</v>
      </c>
      <c r="C38" s="187"/>
      <c r="D38" s="145"/>
      <c r="E38" s="193">
        <v>2650.9</v>
      </c>
      <c r="F38" s="193">
        <v>0</v>
      </c>
      <c r="G38" s="193">
        <v>122.7</v>
      </c>
      <c r="H38" s="746">
        <v>2650.9</v>
      </c>
      <c r="I38" s="746"/>
      <c r="J38" s="683"/>
      <c r="K38" s="684"/>
      <c r="L38" s="503">
        <v>2426</v>
      </c>
      <c r="M38" s="503">
        <v>2047</v>
      </c>
      <c r="N38" s="146"/>
      <c r="O38" s="146"/>
      <c r="P38" s="576">
        <v>2643.4</v>
      </c>
      <c r="Q38" s="576">
        <v>2643.4</v>
      </c>
      <c r="R38" s="576">
        <v>0</v>
      </c>
      <c r="S38" s="577">
        <v>2643.4</v>
      </c>
      <c r="T38" s="577">
        <v>0</v>
      </c>
      <c r="U38" s="146">
        <v>0</v>
      </c>
      <c r="V38" s="528"/>
      <c r="W38" s="147"/>
    </row>
    <row r="39" spans="1:24" ht="37.5" customHeight="1" x14ac:dyDescent="0.2">
      <c r="A39" s="525">
        <v>702</v>
      </c>
      <c r="B39" s="526" t="s">
        <v>301</v>
      </c>
      <c r="C39" s="187"/>
      <c r="D39" s="445"/>
      <c r="E39" s="193">
        <v>5794</v>
      </c>
      <c r="F39" s="193">
        <v>0</v>
      </c>
      <c r="G39" s="192">
        <v>2839</v>
      </c>
      <c r="H39" s="670">
        <v>3993.8</v>
      </c>
      <c r="I39" s="671"/>
      <c r="J39" s="683"/>
      <c r="K39" s="684"/>
      <c r="L39" s="503">
        <v>3105</v>
      </c>
      <c r="M39" s="503">
        <v>2490</v>
      </c>
      <c r="N39" s="146"/>
      <c r="O39" s="146"/>
      <c r="P39" s="576">
        <v>4649.3</v>
      </c>
      <c r="Q39" s="576">
        <v>2849.1</v>
      </c>
      <c r="R39" s="576">
        <v>0</v>
      </c>
      <c r="S39" s="577">
        <v>5793</v>
      </c>
      <c r="T39" s="577">
        <v>1800.2</v>
      </c>
      <c r="U39" s="146">
        <v>0</v>
      </c>
      <c r="V39" s="528"/>
      <c r="W39" s="147"/>
    </row>
    <row r="40" spans="1:24" ht="37.5" customHeight="1" x14ac:dyDescent="0.2">
      <c r="A40" s="525">
        <v>705</v>
      </c>
      <c r="B40" s="525" t="s">
        <v>275</v>
      </c>
      <c r="C40" s="187"/>
      <c r="D40" s="445"/>
      <c r="E40" s="193">
        <v>137577.4</v>
      </c>
      <c r="F40" s="193">
        <v>48985.5</v>
      </c>
      <c r="G40" s="579">
        <v>137065.20000000001</v>
      </c>
      <c r="H40" s="670">
        <v>122910.6</v>
      </c>
      <c r="I40" s="671"/>
      <c r="J40" s="683"/>
      <c r="K40" s="684"/>
      <c r="L40" s="503">
        <v>8570</v>
      </c>
      <c r="M40" s="503">
        <v>8352</v>
      </c>
      <c r="N40" s="146"/>
      <c r="O40" s="146"/>
      <c r="P40" s="576">
        <v>64951.6</v>
      </c>
      <c r="Q40" s="576">
        <v>64951.6</v>
      </c>
      <c r="R40" s="576">
        <v>12327.3</v>
      </c>
      <c r="S40" s="577">
        <v>132476.5</v>
      </c>
      <c r="T40" s="577">
        <v>14666.8</v>
      </c>
      <c r="U40" s="146">
        <v>46082.400000000001</v>
      </c>
      <c r="V40" s="528"/>
      <c r="W40" s="147"/>
    </row>
    <row r="41" spans="1:24" ht="66.75" customHeight="1" x14ac:dyDescent="0.2">
      <c r="A41" s="525">
        <v>820</v>
      </c>
      <c r="B41" s="525" t="s">
        <v>276</v>
      </c>
      <c r="C41" s="187"/>
      <c r="D41" s="445"/>
      <c r="E41" s="193">
        <v>4455</v>
      </c>
      <c r="F41" s="193">
        <v>188.4</v>
      </c>
      <c r="G41" s="579">
        <v>1125.5</v>
      </c>
      <c r="H41" s="670">
        <v>4455</v>
      </c>
      <c r="I41" s="671"/>
      <c r="J41" s="683"/>
      <c r="K41" s="684"/>
      <c r="L41" s="503">
        <v>2424</v>
      </c>
      <c r="M41" s="503">
        <v>1844</v>
      </c>
      <c r="N41" s="146"/>
      <c r="O41" s="146"/>
      <c r="P41" s="576">
        <v>3486.1</v>
      </c>
      <c r="Q41" s="576">
        <v>3486.1</v>
      </c>
      <c r="R41" s="576">
        <v>118.4</v>
      </c>
      <c r="S41" s="577">
        <v>4438.8999999999996</v>
      </c>
      <c r="T41" s="577">
        <v>0</v>
      </c>
      <c r="U41" s="146">
        <v>188.4</v>
      </c>
      <c r="V41" s="528"/>
      <c r="W41" s="147"/>
    </row>
    <row r="42" spans="1:24" ht="65.25" customHeight="1" x14ac:dyDescent="0.2">
      <c r="A42" s="525">
        <v>830</v>
      </c>
      <c r="B42" s="525" t="s">
        <v>277</v>
      </c>
      <c r="C42" s="187"/>
      <c r="D42" s="445"/>
      <c r="E42" s="193">
        <v>4665.6000000000004</v>
      </c>
      <c r="F42" s="193">
        <v>188.4</v>
      </c>
      <c r="G42" s="579">
        <v>1175.2</v>
      </c>
      <c r="H42" s="670">
        <v>4665.6000000000004</v>
      </c>
      <c r="I42" s="671"/>
      <c r="J42" s="683"/>
      <c r="K42" s="684"/>
      <c r="L42" s="503">
        <v>2268</v>
      </c>
      <c r="M42" s="503">
        <v>1732</v>
      </c>
      <c r="N42" s="146"/>
      <c r="O42" s="146"/>
      <c r="P42" s="576">
        <v>3517.8</v>
      </c>
      <c r="Q42" s="576">
        <v>3517.8</v>
      </c>
      <c r="R42" s="576">
        <v>129.9</v>
      </c>
      <c r="S42" s="577">
        <v>4634.8999999999996</v>
      </c>
      <c r="T42" s="577">
        <v>0</v>
      </c>
      <c r="U42" s="146">
        <v>188.4</v>
      </c>
      <c r="V42" s="528"/>
      <c r="W42" s="147"/>
    </row>
    <row r="43" spans="1:24" ht="61.5" customHeight="1" x14ac:dyDescent="0.2">
      <c r="A43" s="525">
        <v>840</v>
      </c>
      <c r="B43" s="525" t="s">
        <v>278</v>
      </c>
      <c r="C43" s="187"/>
      <c r="D43" s="445"/>
      <c r="E43" s="193">
        <v>6455.8</v>
      </c>
      <c r="F43" s="193">
        <v>1244.5999999999999</v>
      </c>
      <c r="G43" s="579">
        <v>3068.2</v>
      </c>
      <c r="H43" s="670">
        <v>6446.8</v>
      </c>
      <c r="I43" s="671"/>
      <c r="J43" s="683"/>
      <c r="K43" s="684"/>
      <c r="L43" s="503">
        <v>2196</v>
      </c>
      <c r="M43" s="503">
        <v>1499</v>
      </c>
      <c r="N43" s="146"/>
      <c r="O43" s="146"/>
      <c r="P43" s="576">
        <v>4870.3999999999996</v>
      </c>
      <c r="Q43" s="576">
        <v>4870.3999999999996</v>
      </c>
      <c r="R43" s="576">
        <v>1186</v>
      </c>
      <c r="S43" s="577">
        <v>6393.8</v>
      </c>
      <c r="T43" s="577">
        <v>9</v>
      </c>
      <c r="U43" s="146">
        <v>1244.5999999999999</v>
      </c>
      <c r="V43" s="528"/>
      <c r="W43" s="147"/>
    </row>
    <row r="44" spans="1:24" ht="67.5" customHeight="1" x14ac:dyDescent="0.2">
      <c r="A44" s="525">
        <v>850</v>
      </c>
      <c r="B44" s="525" t="s">
        <v>279</v>
      </c>
      <c r="C44" s="187"/>
      <c r="D44" s="445"/>
      <c r="E44" s="193">
        <v>4474.8</v>
      </c>
      <c r="F44" s="193">
        <v>188.4</v>
      </c>
      <c r="G44" s="579">
        <v>1498.6</v>
      </c>
      <c r="H44" s="670">
        <v>4474.8</v>
      </c>
      <c r="I44" s="671"/>
      <c r="J44" s="683"/>
      <c r="K44" s="684"/>
      <c r="L44" s="503">
        <v>1988</v>
      </c>
      <c r="M44" s="503">
        <v>1751</v>
      </c>
      <c r="N44" s="146"/>
      <c r="O44" s="146"/>
      <c r="P44" s="576">
        <v>2933.5</v>
      </c>
      <c r="Q44" s="576">
        <v>2933.5</v>
      </c>
      <c r="R44" s="576">
        <v>96.1</v>
      </c>
      <c r="S44" s="577">
        <v>4274.6000000000004</v>
      </c>
      <c r="T44" s="577">
        <v>0</v>
      </c>
      <c r="U44" s="146">
        <v>188.4</v>
      </c>
      <c r="V44" s="528"/>
      <c r="W44" s="147"/>
    </row>
    <row r="45" spans="1:24" ht="63.75" customHeight="1" x14ac:dyDescent="0.2">
      <c r="A45" s="525">
        <v>860</v>
      </c>
      <c r="B45" s="525" t="s">
        <v>280</v>
      </c>
      <c r="C45" s="187"/>
      <c r="D45" s="445"/>
      <c r="E45" s="192">
        <v>15345.8</v>
      </c>
      <c r="F45" s="192">
        <v>188.4</v>
      </c>
      <c r="G45" s="579">
        <v>9363.5</v>
      </c>
      <c r="H45" s="670">
        <v>13466</v>
      </c>
      <c r="I45" s="671"/>
      <c r="J45" s="683"/>
      <c r="K45" s="684"/>
      <c r="L45" s="503">
        <v>6535</v>
      </c>
      <c r="M45" s="503">
        <v>5154</v>
      </c>
      <c r="N45" s="146"/>
      <c r="O45" s="146"/>
      <c r="P45" s="576">
        <v>9954.4</v>
      </c>
      <c r="Q45" s="576">
        <v>9954.4</v>
      </c>
      <c r="R45" s="576">
        <v>139.5</v>
      </c>
      <c r="S45" s="577">
        <v>15118.5</v>
      </c>
      <c r="T45" s="577">
        <v>1879.8</v>
      </c>
      <c r="U45" s="146">
        <v>188.4</v>
      </c>
      <c r="V45" s="528"/>
      <c r="W45" s="147"/>
    </row>
    <row r="46" spans="1:24" ht="64.5" customHeight="1" x14ac:dyDescent="0.2">
      <c r="A46" s="525">
        <v>870</v>
      </c>
      <c r="B46" s="525" t="s">
        <v>272</v>
      </c>
      <c r="C46" s="187"/>
      <c r="D46" s="445"/>
      <c r="E46" s="193">
        <v>7007.7</v>
      </c>
      <c r="F46" s="193">
        <v>188.4</v>
      </c>
      <c r="G46" s="579">
        <v>3520.9</v>
      </c>
      <c r="H46" s="670">
        <v>7007.7</v>
      </c>
      <c r="I46" s="671"/>
      <c r="J46" s="683"/>
      <c r="K46" s="684"/>
      <c r="L46" s="503">
        <v>2298</v>
      </c>
      <c r="M46" s="503">
        <v>2211</v>
      </c>
      <c r="N46" s="146"/>
      <c r="O46" s="146"/>
      <c r="P46" s="576">
        <v>5238.1000000000004</v>
      </c>
      <c r="Q46" s="576">
        <v>5238.1000000000004</v>
      </c>
      <c r="R46" s="576">
        <v>126.2</v>
      </c>
      <c r="S46" s="577">
        <v>6786.1</v>
      </c>
      <c r="T46" s="577">
        <v>0</v>
      </c>
      <c r="U46" s="146">
        <v>188.4</v>
      </c>
      <c r="V46" s="528"/>
      <c r="W46" s="147"/>
    </row>
    <row r="47" spans="1:24" ht="68.25" customHeight="1" x14ac:dyDescent="0.2">
      <c r="A47" s="525">
        <v>880</v>
      </c>
      <c r="B47" s="525" t="s">
        <v>273</v>
      </c>
      <c r="C47" s="187"/>
      <c r="D47" s="445"/>
      <c r="E47" s="193">
        <v>17422.900000000001</v>
      </c>
      <c r="F47" s="193">
        <v>11742.4</v>
      </c>
      <c r="G47" s="579">
        <v>14026.2</v>
      </c>
      <c r="H47" s="670">
        <v>17422.900000000001</v>
      </c>
      <c r="I47" s="671"/>
      <c r="J47" s="683"/>
      <c r="K47" s="684"/>
      <c r="L47" s="503">
        <v>2283</v>
      </c>
      <c r="M47" s="503">
        <v>1858</v>
      </c>
      <c r="N47" s="146"/>
      <c r="O47" s="146"/>
      <c r="P47" s="576">
        <v>14199.2</v>
      </c>
      <c r="Q47" s="576">
        <v>14199.2</v>
      </c>
      <c r="R47" s="576">
        <v>10267.799999999999</v>
      </c>
      <c r="S47" s="577">
        <v>17336.5</v>
      </c>
      <c r="T47" s="577">
        <v>0</v>
      </c>
      <c r="U47" s="146">
        <v>11742.4</v>
      </c>
      <c r="V47" s="528"/>
      <c r="W47" s="147"/>
      <c r="X47" s="492"/>
    </row>
    <row r="48" spans="1:24" x14ac:dyDescent="0.2">
      <c r="A48" s="150"/>
      <c r="B48" s="151" t="s">
        <v>27</v>
      </c>
      <c r="C48" s="152"/>
      <c r="D48" s="153"/>
      <c r="E48" s="238">
        <f>SUM(E18:E47)</f>
        <v>2641441.7999999998</v>
      </c>
      <c r="F48" s="268">
        <f>SUM(F18:F47)</f>
        <v>1391575.3999999994</v>
      </c>
      <c r="G48" s="238">
        <f>SUM(G18:G47)</f>
        <v>616838.69999999984</v>
      </c>
      <c r="H48" s="677">
        <f>SUM(H18:H47)</f>
        <v>1194598.6000000003</v>
      </c>
      <c r="I48" s="678"/>
      <c r="J48" s="742"/>
      <c r="K48" s="743"/>
      <c r="L48" s="513">
        <f t="shared" ref="L48:U48" si="0">SUM(L18:L47)</f>
        <v>278899.8</v>
      </c>
      <c r="M48" s="513">
        <f t="shared" si="0"/>
        <v>235577</v>
      </c>
      <c r="N48" s="154">
        <f t="shared" si="0"/>
        <v>0</v>
      </c>
      <c r="O48" s="154">
        <f t="shared" si="0"/>
        <v>0</v>
      </c>
      <c r="P48" s="513">
        <f t="shared" si="0"/>
        <v>1728913.9000000004</v>
      </c>
      <c r="Q48" s="513">
        <f t="shared" si="0"/>
        <v>141675.6</v>
      </c>
      <c r="R48" s="513">
        <f t="shared" si="0"/>
        <v>925123.60000000009</v>
      </c>
      <c r="S48" s="513">
        <f t="shared" si="0"/>
        <v>2585254.9</v>
      </c>
      <c r="T48" s="513">
        <f t="shared" si="0"/>
        <v>78141.300000000017</v>
      </c>
      <c r="U48" s="513">
        <f t="shared" si="0"/>
        <v>1354511.3999999994</v>
      </c>
      <c r="W48" s="147"/>
    </row>
    <row r="50" spans="1:27" ht="15.75" customHeight="1" x14ac:dyDescent="0.25">
      <c r="A50" s="155" t="s">
        <v>288</v>
      </c>
      <c r="E50" s="186" t="s">
        <v>90</v>
      </c>
      <c r="I50" s="12" t="s">
        <v>289</v>
      </c>
    </row>
    <row r="51" spans="1:27" x14ac:dyDescent="0.2">
      <c r="I51" s="186" t="s">
        <v>38</v>
      </c>
    </row>
    <row r="53" spans="1:27" ht="0.75" customHeight="1" x14ac:dyDescent="0.2"/>
    <row r="54" spans="1:27" x14ac:dyDescent="0.2">
      <c r="A54" s="744" t="s">
        <v>305</v>
      </c>
      <c r="B54" s="744"/>
      <c r="C54" s="745"/>
      <c r="D54" s="745"/>
      <c r="E54" s="186" t="s">
        <v>39</v>
      </c>
      <c r="I54" s="12" t="s">
        <v>304</v>
      </c>
    </row>
    <row r="55" spans="1:27" x14ac:dyDescent="0.2">
      <c r="B55" s="10" t="s">
        <v>260</v>
      </c>
      <c r="E55" s="186" t="s">
        <v>40</v>
      </c>
      <c r="I55" s="186" t="s">
        <v>38</v>
      </c>
    </row>
    <row r="57" spans="1:27" x14ac:dyDescent="0.2">
      <c r="B57" s="10" t="s">
        <v>306</v>
      </c>
      <c r="E57" s="186" t="s">
        <v>39</v>
      </c>
      <c r="I57" s="12" t="s">
        <v>307</v>
      </c>
    </row>
    <row r="58" spans="1:27" x14ac:dyDescent="0.2">
      <c r="B58" s="10" t="s">
        <v>260</v>
      </c>
      <c r="E58" s="186" t="s">
        <v>40</v>
      </c>
      <c r="I58" s="186" t="s">
        <v>38</v>
      </c>
    </row>
    <row r="59" spans="1:27" x14ac:dyDescent="0.2">
      <c r="A59" s="10" t="s">
        <v>533</v>
      </c>
    </row>
    <row r="61" spans="1:27" x14ac:dyDescent="0.2">
      <c r="A61" s="10" t="s">
        <v>721</v>
      </c>
    </row>
    <row r="62" spans="1:27" x14ac:dyDescent="0.2">
      <c r="AA62" s="270"/>
    </row>
    <row r="66" spans="1:29" ht="13.7" customHeight="1" x14ac:dyDescent="0.2">
      <c r="R66" s="129"/>
      <c r="S66" s="129"/>
      <c r="T66" s="129"/>
    </row>
    <row r="67" spans="1:29" x14ac:dyDescent="0.2">
      <c r="A67" s="129"/>
    </row>
    <row r="68" spans="1:29" ht="12" customHeight="1" x14ac:dyDescent="0.2">
      <c r="A68" s="10" t="s">
        <v>437</v>
      </c>
    </row>
    <row r="69" spans="1:29" ht="103.5" customHeight="1" x14ac:dyDescent="0.2">
      <c r="A69" s="702" t="s">
        <v>33</v>
      </c>
      <c r="B69" s="702" t="s">
        <v>34</v>
      </c>
      <c r="C69" s="705"/>
      <c r="D69" s="747"/>
      <c r="E69" s="731"/>
      <c r="F69" s="715" t="s">
        <v>711</v>
      </c>
      <c r="G69" s="716"/>
      <c r="H69" s="679" t="s">
        <v>129</v>
      </c>
      <c r="I69" s="679"/>
      <c r="J69" s="685"/>
      <c r="K69" s="686"/>
      <c r="L69" s="687"/>
      <c r="M69" s="680" t="s">
        <v>36</v>
      </c>
      <c r="N69" s="681"/>
      <c r="O69" s="681"/>
      <c r="P69" s="681"/>
      <c r="Q69" s="681"/>
      <c r="R69" s="681"/>
      <c r="S69" s="682"/>
      <c r="T69" s="679" t="s">
        <v>231</v>
      </c>
      <c r="U69" s="679"/>
      <c r="V69" s="679"/>
      <c r="W69" s="679" t="s">
        <v>232</v>
      </c>
      <c r="X69" s="679"/>
      <c r="Y69" s="679"/>
      <c r="Z69" s="679"/>
      <c r="AA69" s="674" t="s">
        <v>242</v>
      </c>
      <c r="AB69" s="675"/>
      <c r="AC69" s="676"/>
    </row>
    <row r="70" spans="1:29" ht="258.75" customHeight="1" x14ac:dyDescent="0.2">
      <c r="A70" s="704"/>
      <c r="B70" s="704"/>
      <c r="C70" s="748"/>
      <c r="D70" s="749"/>
      <c r="E70" s="732"/>
      <c r="F70" s="717"/>
      <c r="G70" s="718"/>
      <c r="H70" s="508" t="s">
        <v>53</v>
      </c>
      <c r="I70" s="507" t="s">
        <v>48</v>
      </c>
      <c r="J70" s="500"/>
      <c r="K70" s="505"/>
      <c r="L70" s="223"/>
      <c r="M70" s="504" t="s">
        <v>712</v>
      </c>
      <c r="N70" s="156"/>
      <c r="O70" s="156" t="s">
        <v>710</v>
      </c>
      <c r="P70" s="156" t="s">
        <v>387</v>
      </c>
      <c r="Q70" s="156" t="s">
        <v>716</v>
      </c>
      <c r="R70" s="501" t="s">
        <v>715</v>
      </c>
      <c r="S70" s="156"/>
      <c r="T70" s="156" t="s">
        <v>201</v>
      </c>
      <c r="U70" s="505" t="s">
        <v>708</v>
      </c>
      <c r="V70" s="501" t="s">
        <v>709</v>
      </c>
      <c r="W70" s="501" t="s">
        <v>717</v>
      </c>
      <c r="X70" s="501" t="s">
        <v>714</v>
      </c>
      <c r="Y70" s="205" t="s">
        <v>308</v>
      </c>
      <c r="Z70" s="501" t="s">
        <v>718</v>
      </c>
      <c r="AA70" s="501" t="s">
        <v>308</v>
      </c>
      <c r="AB70" s="501" t="s">
        <v>323</v>
      </c>
      <c r="AC70" s="205" t="s">
        <v>322</v>
      </c>
    </row>
    <row r="71" spans="1:29" ht="48.75" customHeight="1" x14ac:dyDescent="0.2">
      <c r="A71" s="525">
        <v>557</v>
      </c>
      <c r="B71" s="525" t="s">
        <v>268</v>
      </c>
      <c r="C71" s="131">
        <v>10</v>
      </c>
      <c r="D71" s="145"/>
      <c r="E71" s="223"/>
      <c r="F71" s="670">
        <f>H18</f>
        <v>81318.2</v>
      </c>
      <c r="G71" s="671"/>
      <c r="H71" s="322">
        <f>E18</f>
        <v>108129.5</v>
      </c>
      <c r="I71" s="322">
        <f>F18</f>
        <v>23312.3</v>
      </c>
      <c r="J71" s="322"/>
      <c r="K71" s="502"/>
      <c r="L71" s="191"/>
      <c r="M71" s="193">
        <f t="shared" ref="M71:M78" si="1">S18-T18-U18</f>
        <v>78201.399999999994</v>
      </c>
      <c r="N71" s="136"/>
      <c r="O71" s="580">
        <f>M71/F71*100</f>
        <v>96.167155692083682</v>
      </c>
      <c r="P71" s="146">
        <v>0.5</v>
      </c>
      <c r="Q71" s="193">
        <f>P18-Q18-R18</f>
        <v>53137</v>
      </c>
      <c r="R71" s="193">
        <f>S18-T18-U18-Q71</f>
        <v>25064.399999999994</v>
      </c>
      <c r="S71" s="158"/>
      <c r="T71" s="322">
        <f>U18</f>
        <v>23306.6</v>
      </c>
      <c r="U71" s="312">
        <f>100*T71/I71</f>
        <v>99.975549388091267</v>
      </c>
      <c r="V71" s="269">
        <f>U71/100</f>
        <v>0.99975549388091267</v>
      </c>
      <c r="W71" s="192">
        <f>Q71/3</f>
        <v>17712.333333333332</v>
      </c>
      <c r="X71" s="192">
        <f>R71</f>
        <v>25064.399999999994</v>
      </c>
      <c r="Y71" s="269">
        <f>(X71-W71)*100/W71</f>
        <v>41.508176976494696</v>
      </c>
      <c r="Z71" s="196">
        <v>1</v>
      </c>
      <c r="AA71" s="196">
        <f>(L18/'приложение 9'!D47)/(M18/'приложение 9'!D48)*100</f>
        <v>132.81725472028614</v>
      </c>
      <c r="AB71" s="581" t="s">
        <v>203</v>
      </c>
      <c r="AC71" s="518">
        <v>0</v>
      </c>
    </row>
    <row r="72" spans="1:29" ht="52.5" customHeight="1" x14ac:dyDescent="0.2">
      <c r="A72" s="525">
        <v>559</v>
      </c>
      <c r="B72" s="525" t="s">
        <v>292</v>
      </c>
      <c r="C72" s="131">
        <v>6</v>
      </c>
      <c r="D72" s="145"/>
      <c r="E72" s="223"/>
      <c r="F72" s="670">
        <f t="shared" ref="F72:F73" si="2">H19</f>
        <v>12201.3</v>
      </c>
      <c r="G72" s="671"/>
      <c r="H72" s="322">
        <f t="shared" ref="H72:H100" si="3">E19</f>
        <v>12629.1</v>
      </c>
      <c r="I72" s="322">
        <f t="shared" ref="I72:I100" si="4">F19</f>
        <v>312</v>
      </c>
      <c r="J72" s="322"/>
      <c r="K72" s="502"/>
      <c r="L72" s="191"/>
      <c r="M72" s="193">
        <f t="shared" si="1"/>
        <v>11990.900000000001</v>
      </c>
      <c r="N72" s="136"/>
      <c r="O72" s="580">
        <f t="shared" ref="O72:O100" si="5">M72/F72*100</f>
        <v>98.27559358429022</v>
      </c>
      <c r="P72" s="146">
        <v>0.8</v>
      </c>
      <c r="Q72" s="193">
        <f>P19-Q19-R19</f>
        <v>8030</v>
      </c>
      <c r="R72" s="193">
        <f>S19-T19-U19-Q72</f>
        <v>3960.9000000000015</v>
      </c>
      <c r="S72" s="158"/>
      <c r="T72" s="322">
        <f t="shared" ref="T72:T100" si="6">U19</f>
        <v>312</v>
      </c>
      <c r="U72" s="312">
        <f>100*T72/I72</f>
        <v>100</v>
      </c>
      <c r="V72" s="269">
        <v>1</v>
      </c>
      <c r="W72" s="192">
        <f t="shared" ref="W72:W101" si="7">Q72/3</f>
        <v>2676.6666666666665</v>
      </c>
      <c r="X72" s="192">
        <f t="shared" ref="X72:X101" si="8">R72</f>
        <v>3960.9000000000015</v>
      </c>
      <c r="Y72" s="269">
        <f t="shared" ref="Y72:Y100" si="9">(X72-W72)*100/W72</f>
        <v>47.978829389788352</v>
      </c>
      <c r="Z72" s="196">
        <v>1</v>
      </c>
      <c r="AA72" s="196">
        <f>(L19/'приложение 9'!D47)/(M19/'приложение 9'!D48)*100</f>
        <v>121.20165736205995</v>
      </c>
      <c r="AB72" s="581" t="s">
        <v>202</v>
      </c>
      <c r="AC72" s="518">
        <v>1</v>
      </c>
    </row>
    <row r="73" spans="1:29" ht="42" customHeight="1" x14ac:dyDescent="0.2">
      <c r="A73" s="525">
        <v>560</v>
      </c>
      <c r="B73" s="526" t="s">
        <v>291</v>
      </c>
      <c r="C73" s="131">
        <v>0</v>
      </c>
      <c r="D73" s="145"/>
      <c r="E73" s="223"/>
      <c r="F73" s="670">
        <f t="shared" si="2"/>
        <v>166543.4</v>
      </c>
      <c r="G73" s="671"/>
      <c r="H73" s="322">
        <f t="shared" si="3"/>
        <v>241300.6</v>
      </c>
      <c r="I73" s="322">
        <f t="shared" si="4"/>
        <v>2731.1</v>
      </c>
      <c r="J73" s="322"/>
      <c r="K73" s="502"/>
      <c r="L73" s="191"/>
      <c r="M73" s="193">
        <f t="shared" si="1"/>
        <v>198379.5</v>
      </c>
      <c r="N73" s="136"/>
      <c r="O73" s="580">
        <f t="shared" si="5"/>
        <v>119.11579804423351</v>
      </c>
      <c r="P73" s="146">
        <v>0.8</v>
      </c>
      <c r="Q73" s="193">
        <f t="shared" ref="Q73:Q100" si="10">P20-Q20-R20</f>
        <v>148699.30000000002</v>
      </c>
      <c r="R73" s="193">
        <f t="shared" ref="R73:R100" si="11">S20-T20-U20-Q73</f>
        <v>49680.199999999983</v>
      </c>
      <c r="S73" s="158"/>
      <c r="T73" s="322">
        <f t="shared" si="6"/>
        <v>2731.1</v>
      </c>
      <c r="U73" s="312">
        <f t="shared" ref="U73:U100" si="12">100*T73/I73</f>
        <v>100</v>
      </c>
      <c r="V73" s="269">
        <v>1</v>
      </c>
      <c r="W73" s="192">
        <f t="shared" si="7"/>
        <v>49566.433333333342</v>
      </c>
      <c r="X73" s="192">
        <f t="shared" si="8"/>
        <v>49680.199999999983</v>
      </c>
      <c r="Y73" s="269">
        <f t="shared" si="9"/>
        <v>0.22952360905526981</v>
      </c>
      <c r="Z73" s="196">
        <v>1</v>
      </c>
      <c r="AA73" s="196">
        <f>(L20/'приложение 9'!D47)/(M20/'приложение 9'!D48)*100</f>
        <v>129.74024546302476</v>
      </c>
      <c r="AB73" s="581" t="s">
        <v>203</v>
      </c>
      <c r="AC73" s="518">
        <v>0</v>
      </c>
    </row>
    <row r="74" spans="1:29" ht="42.75" customHeight="1" x14ac:dyDescent="0.2">
      <c r="A74" s="525">
        <v>601</v>
      </c>
      <c r="B74" s="525" t="s">
        <v>271</v>
      </c>
      <c r="C74" s="132">
        <v>4</v>
      </c>
      <c r="D74" s="145"/>
      <c r="E74" s="223"/>
      <c r="F74" s="670">
        <f t="shared" ref="F74:F100" si="13">H21</f>
        <v>52026.5</v>
      </c>
      <c r="G74" s="671"/>
      <c r="H74" s="322">
        <f t="shared" si="3"/>
        <v>157477.20000000001</v>
      </c>
      <c r="I74" s="322">
        <f t="shared" si="4"/>
        <v>105450.7</v>
      </c>
      <c r="J74" s="322"/>
      <c r="K74" s="502"/>
      <c r="L74" s="191"/>
      <c r="M74" s="193">
        <f t="shared" si="1"/>
        <v>51135.899999999994</v>
      </c>
      <c r="N74" s="136"/>
      <c r="O74" s="580">
        <f t="shared" si="5"/>
        <v>98.288180062083725</v>
      </c>
      <c r="P74" s="146">
        <v>0.8</v>
      </c>
      <c r="Q74" s="193">
        <f t="shared" si="10"/>
        <v>40382.799999999996</v>
      </c>
      <c r="R74" s="193">
        <f t="shared" si="11"/>
        <v>10753.099999999999</v>
      </c>
      <c r="S74" s="158"/>
      <c r="T74" s="322">
        <f t="shared" si="6"/>
        <v>81993.5</v>
      </c>
      <c r="U74" s="312">
        <f t="shared" si="12"/>
        <v>77.755292283503096</v>
      </c>
      <c r="V74" s="269">
        <v>0</v>
      </c>
      <c r="W74" s="192">
        <f t="shared" si="7"/>
        <v>13460.933333333332</v>
      </c>
      <c r="X74" s="192">
        <f t="shared" si="8"/>
        <v>10753.099999999999</v>
      </c>
      <c r="Y74" s="269">
        <f t="shared" si="9"/>
        <v>-20.116237606109536</v>
      </c>
      <c r="Z74" s="196">
        <v>1</v>
      </c>
      <c r="AA74" s="196">
        <f>(L21/'приложение 9'!D47)/(M21/'приложение 9'!D48)*100</f>
        <v>229.38021972527437</v>
      </c>
      <c r="AB74" s="581" t="s">
        <v>203</v>
      </c>
      <c r="AC74" s="518">
        <v>0</v>
      </c>
    </row>
    <row r="75" spans="1:29" ht="42.75" customHeight="1" x14ac:dyDescent="0.2">
      <c r="A75" s="525">
        <v>602</v>
      </c>
      <c r="B75" s="525" t="s">
        <v>320</v>
      </c>
      <c r="C75" s="132"/>
      <c r="D75" s="145"/>
      <c r="E75" s="223"/>
      <c r="F75" s="670">
        <f t="shared" si="13"/>
        <v>63.7</v>
      </c>
      <c r="G75" s="671"/>
      <c r="H75" s="322">
        <f t="shared" si="3"/>
        <v>2280.4</v>
      </c>
      <c r="I75" s="322">
        <f t="shared" si="4"/>
        <v>0</v>
      </c>
      <c r="J75" s="322"/>
      <c r="K75" s="502"/>
      <c r="L75" s="191"/>
      <c r="M75" s="193">
        <f t="shared" si="1"/>
        <v>2280.4</v>
      </c>
      <c r="N75" s="136"/>
      <c r="O75" s="580">
        <f t="shared" si="5"/>
        <v>3579.9058084772369</v>
      </c>
      <c r="P75" s="146">
        <v>0.8</v>
      </c>
      <c r="Q75" s="193">
        <f t="shared" si="10"/>
        <v>1966.4</v>
      </c>
      <c r="R75" s="193">
        <f t="shared" si="11"/>
        <v>314</v>
      </c>
      <c r="S75" s="158"/>
      <c r="T75" s="322">
        <f t="shared" si="6"/>
        <v>0</v>
      </c>
      <c r="U75" s="312" t="e">
        <f t="shared" si="12"/>
        <v>#DIV/0!</v>
      </c>
      <c r="V75" s="269">
        <v>0</v>
      </c>
      <c r="W75" s="192">
        <f t="shared" si="7"/>
        <v>655.4666666666667</v>
      </c>
      <c r="X75" s="192">
        <f t="shared" si="8"/>
        <v>314</v>
      </c>
      <c r="Y75" s="269">
        <f t="shared" si="9"/>
        <v>-52.095199349064288</v>
      </c>
      <c r="Z75" s="196">
        <v>1</v>
      </c>
      <c r="AA75" s="196">
        <f>(L22/'приложение 9'!D47)/(M22/'приложение 9'!D48)*100</f>
        <v>117.40473583925824</v>
      </c>
      <c r="AB75" s="581" t="s">
        <v>202</v>
      </c>
      <c r="AC75" s="518">
        <v>1</v>
      </c>
    </row>
    <row r="76" spans="1:29" ht="40.5" customHeight="1" x14ac:dyDescent="0.2">
      <c r="A76" s="525">
        <v>603</v>
      </c>
      <c r="B76" s="523" t="s">
        <v>293</v>
      </c>
      <c r="C76" s="132">
        <v>4</v>
      </c>
      <c r="D76" s="145"/>
      <c r="E76" s="223"/>
      <c r="F76" s="670">
        <f t="shared" si="13"/>
        <v>13501.9</v>
      </c>
      <c r="G76" s="671"/>
      <c r="H76" s="322">
        <f t="shared" si="3"/>
        <v>17049.7</v>
      </c>
      <c r="I76" s="322">
        <f t="shared" si="4"/>
        <v>3547.8</v>
      </c>
      <c r="J76" s="322"/>
      <c r="K76" s="502"/>
      <c r="L76" s="191"/>
      <c r="M76" s="193">
        <f t="shared" si="1"/>
        <v>13066.2</v>
      </c>
      <c r="N76" s="136"/>
      <c r="O76" s="580">
        <f t="shared" si="5"/>
        <v>96.773046756382442</v>
      </c>
      <c r="P76" s="146">
        <v>0.8</v>
      </c>
      <c r="Q76" s="193">
        <f t="shared" si="10"/>
        <v>10361.4</v>
      </c>
      <c r="R76" s="193">
        <f t="shared" si="11"/>
        <v>2704.8000000000011</v>
      </c>
      <c r="S76" s="158"/>
      <c r="T76" s="322">
        <f t="shared" si="6"/>
        <v>3547.8</v>
      </c>
      <c r="U76" s="312">
        <f t="shared" si="12"/>
        <v>100</v>
      </c>
      <c r="V76" s="269">
        <v>1</v>
      </c>
      <c r="W76" s="192">
        <f t="shared" si="7"/>
        <v>3453.7999999999997</v>
      </c>
      <c r="X76" s="192">
        <f t="shared" si="8"/>
        <v>2704.8000000000011</v>
      </c>
      <c r="Y76" s="269">
        <f t="shared" si="9"/>
        <v>-21.686258613700815</v>
      </c>
      <c r="Z76" s="196">
        <v>1</v>
      </c>
      <c r="AA76" s="196" t="str">
        <f>L23</f>
        <v>***</v>
      </c>
      <c r="AB76" s="581"/>
      <c r="AC76" s="196" t="s">
        <v>722</v>
      </c>
    </row>
    <row r="77" spans="1:29" ht="42.75" customHeight="1" x14ac:dyDescent="0.2">
      <c r="A77" s="525">
        <v>604</v>
      </c>
      <c r="B77" s="525" t="s">
        <v>294</v>
      </c>
      <c r="C77" s="131">
        <v>1</v>
      </c>
      <c r="D77" s="145"/>
      <c r="E77" s="223"/>
      <c r="F77" s="670">
        <f t="shared" si="13"/>
        <v>2680.6</v>
      </c>
      <c r="G77" s="671"/>
      <c r="H77" s="322">
        <f t="shared" si="3"/>
        <v>4739.8999999999996</v>
      </c>
      <c r="I77" s="322">
        <f t="shared" si="4"/>
        <v>2059.3000000000002</v>
      </c>
      <c r="J77" s="322"/>
      <c r="K77" s="502"/>
      <c r="L77" s="191"/>
      <c r="M77" s="193">
        <f t="shared" si="1"/>
        <v>4334.4999999999991</v>
      </c>
      <c r="N77" s="136"/>
      <c r="O77" s="580">
        <f t="shared" si="5"/>
        <v>161.69887338655522</v>
      </c>
      <c r="P77" s="146">
        <v>0.8</v>
      </c>
      <c r="Q77" s="193">
        <f t="shared" si="10"/>
        <v>1509.2999999999997</v>
      </c>
      <c r="R77" s="193">
        <f t="shared" si="11"/>
        <v>2825.1999999999994</v>
      </c>
      <c r="S77" s="158"/>
      <c r="T77" s="322">
        <f t="shared" si="6"/>
        <v>79.099999999999994</v>
      </c>
      <c r="U77" s="312">
        <f t="shared" si="12"/>
        <v>3.8411110571553433</v>
      </c>
      <c r="V77" s="269">
        <v>0</v>
      </c>
      <c r="W77" s="192">
        <f t="shared" si="7"/>
        <v>503.09999999999991</v>
      </c>
      <c r="X77" s="192">
        <f t="shared" si="8"/>
        <v>2825.1999999999994</v>
      </c>
      <c r="Y77" s="269">
        <f t="shared" si="9"/>
        <v>461.55833830252431</v>
      </c>
      <c r="Z77" s="196">
        <v>0</v>
      </c>
      <c r="AA77" s="196" t="str">
        <f>L24</f>
        <v>***</v>
      </c>
      <c r="AB77" s="581"/>
      <c r="AC77" s="196" t="s">
        <v>722</v>
      </c>
    </row>
    <row r="78" spans="1:29" ht="42" customHeight="1" x14ac:dyDescent="0.2">
      <c r="A78" s="525">
        <v>605</v>
      </c>
      <c r="B78" s="523" t="s">
        <v>295</v>
      </c>
      <c r="C78" s="132">
        <v>3</v>
      </c>
      <c r="D78" s="145"/>
      <c r="E78" s="223"/>
      <c r="F78" s="670">
        <f t="shared" si="13"/>
        <v>32263.1</v>
      </c>
      <c r="G78" s="671"/>
      <c r="H78" s="322">
        <f t="shared" si="3"/>
        <v>65642.399999999994</v>
      </c>
      <c r="I78" s="322">
        <f t="shared" si="4"/>
        <v>29379.3</v>
      </c>
      <c r="J78" s="322"/>
      <c r="K78" s="502"/>
      <c r="L78" s="191"/>
      <c r="M78" s="193">
        <f t="shared" si="1"/>
        <v>36130.800000000003</v>
      </c>
      <c r="N78" s="136"/>
      <c r="O78" s="580">
        <f t="shared" si="5"/>
        <v>111.98799867340709</v>
      </c>
      <c r="P78" s="146">
        <v>0.8</v>
      </c>
      <c r="Q78" s="193">
        <f t="shared" si="10"/>
        <v>23916.6</v>
      </c>
      <c r="R78" s="193">
        <f t="shared" si="11"/>
        <v>12214.200000000004</v>
      </c>
      <c r="S78" s="158"/>
      <c r="T78" s="322">
        <f t="shared" si="6"/>
        <v>29379.3</v>
      </c>
      <c r="U78" s="312">
        <f t="shared" si="12"/>
        <v>100</v>
      </c>
      <c r="V78" s="269">
        <f t="shared" ref="V78:V86" si="14">U78/100</f>
        <v>1</v>
      </c>
      <c r="W78" s="192">
        <f t="shared" si="7"/>
        <v>7972.2</v>
      </c>
      <c r="X78" s="192">
        <f t="shared" si="8"/>
        <v>12214.200000000004</v>
      </c>
      <c r="Y78" s="269">
        <f t="shared" si="9"/>
        <v>53.209904417852094</v>
      </c>
      <c r="Z78" s="196">
        <f>1-((Y78-50)/50)</f>
        <v>0.93580191164295812</v>
      </c>
      <c r="AA78" s="196" t="str">
        <f>L25</f>
        <v>***</v>
      </c>
      <c r="AB78" s="581"/>
      <c r="AC78" s="196" t="s">
        <v>722</v>
      </c>
    </row>
    <row r="79" spans="1:29" ht="40.5" customHeight="1" x14ac:dyDescent="0.2">
      <c r="A79" s="525">
        <v>606</v>
      </c>
      <c r="B79" s="521" t="s">
        <v>290</v>
      </c>
      <c r="C79" s="131">
        <v>0</v>
      </c>
      <c r="D79" s="145"/>
      <c r="E79" s="223"/>
      <c r="F79" s="670">
        <f t="shared" si="13"/>
        <v>9706.7000000000007</v>
      </c>
      <c r="G79" s="671"/>
      <c r="H79" s="322">
        <f t="shared" si="3"/>
        <v>9706.7000000000007</v>
      </c>
      <c r="I79" s="322">
        <f t="shared" si="4"/>
        <v>0</v>
      </c>
      <c r="J79" s="322"/>
      <c r="K79" s="502"/>
      <c r="L79" s="191"/>
      <c r="M79" s="193">
        <f t="shared" ref="M79:M101" si="15">S26-T26-U26</f>
        <v>9475.7999999999993</v>
      </c>
      <c r="N79" s="136"/>
      <c r="O79" s="580">
        <f t="shared" si="5"/>
        <v>97.621230696323153</v>
      </c>
      <c r="P79" s="146">
        <v>0.8</v>
      </c>
      <c r="Q79" s="193">
        <f t="shared" si="10"/>
        <v>5186.7</v>
      </c>
      <c r="R79" s="193">
        <f t="shared" si="11"/>
        <v>4289.0999999999995</v>
      </c>
      <c r="S79" s="158"/>
      <c r="T79" s="322">
        <f t="shared" si="6"/>
        <v>0</v>
      </c>
      <c r="U79" s="312" t="e">
        <f t="shared" si="12"/>
        <v>#DIV/0!</v>
      </c>
      <c r="V79" s="269">
        <v>0</v>
      </c>
      <c r="W79" s="192">
        <f t="shared" si="7"/>
        <v>1728.8999999999999</v>
      </c>
      <c r="X79" s="192">
        <f t="shared" si="8"/>
        <v>4289.0999999999995</v>
      </c>
      <c r="Y79" s="269">
        <f t="shared" si="9"/>
        <v>148.08259587020649</v>
      </c>
      <c r="Z79" s="196">
        <v>0</v>
      </c>
      <c r="AA79" s="196">
        <f>(L26/'приложение 9'!D47)/(M26/'приложение 9'!D48)*100</f>
        <v>156.95430080492642</v>
      </c>
      <c r="AB79" s="581" t="s">
        <v>203</v>
      </c>
      <c r="AC79" s="518">
        <v>0</v>
      </c>
    </row>
    <row r="80" spans="1:29" ht="39.75" customHeight="1" x14ac:dyDescent="0.2">
      <c r="A80" s="525">
        <v>608</v>
      </c>
      <c r="B80" s="525" t="s">
        <v>296</v>
      </c>
      <c r="C80" s="131"/>
      <c r="D80" s="145"/>
      <c r="E80" s="223"/>
      <c r="F80" s="670">
        <f t="shared" si="13"/>
        <v>13539.5</v>
      </c>
      <c r="G80" s="671"/>
      <c r="H80" s="322">
        <f t="shared" si="3"/>
        <v>23427</v>
      </c>
      <c r="I80" s="322">
        <f t="shared" si="4"/>
        <v>9887.5</v>
      </c>
      <c r="J80" s="322"/>
      <c r="K80" s="502"/>
      <c r="L80" s="191"/>
      <c r="M80" s="193">
        <f t="shared" si="15"/>
        <v>13208.600000000002</v>
      </c>
      <c r="N80" s="136"/>
      <c r="O80" s="580">
        <f t="shared" si="5"/>
        <v>97.556039735588485</v>
      </c>
      <c r="P80" s="146">
        <v>0.8</v>
      </c>
      <c r="Q80" s="193">
        <f t="shared" si="10"/>
        <v>7026.0999999999995</v>
      </c>
      <c r="R80" s="193">
        <f t="shared" si="11"/>
        <v>6182.5000000000027</v>
      </c>
      <c r="S80" s="158"/>
      <c r="T80" s="322">
        <f t="shared" si="6"/>
        <v>9085.7999999999993</v>
      </c>
      <c r="U80" s="312">
        <f t="shared" si="12"/>
        <v>91.891782553729442</v>
      </c>
      <c r="V80" s="269">
        <v>0</v>
      </c>
      <c r="W80" s="192">
        <f t="shared" si="7"/>
        <v>2342.0333333333333</v>
      </c>
      <c r="X80" s="192">
        <f t="shared" si="8"/>
        <v>6182.5000000000027</v>
      </c>
      <c r="Y80" s="269">
        <f t="shared" si="9"/>
        <v>163.98001736382926</v>
      </c>
      <c r="Z80" s="196">
        <v>0</v>
      </c>
      <c r="AA80" s="196" t="str">
        <f>L27</f>
        <v>***</v>
      </c>
      <c r="AB80" s="581"/>
      <c r="AC80" s="518" t="s">
        <v>722</v>
      </c>
    </row>
    <row r="81" spans="1:29" ht="50.25" customHeight="1" x14ac:dyDescent="0.2">
      <c r="A81" s="525">
        <v>685</v>
      </c>
      <c r="B81" s="525" t="s">
        <v>282</v>
      </c>
      <c r="C81" s="131"/>
      <c r="D81" s="145"/>
      <c r="E81" s="223"/>
      <c r="F81" s="670">
        <f t="shared" si="13"/>
        <v>7989.2</v>
      </c>
      <c r="G81" s="671"/>
      <c r="H81" s="322">
        <f t="shared" si="3"/>
        <v>8682.2999999999993</v>
      </c>
      <c r="I81" s="322">
        <f t="shared" si="4"/>
        <v>0</v>
      </c>
      <c r="J81" s="322"/>
      <c r="K81" s="502"/>
      <c r="L81" s="191"/>
      <c r="M81" s="193">
        <f t="shared" si="15"/>
        <v>8509.2000000000007</v>
      </c>
      <c r="N81" s="136"/>
      <c r="O81" s="580">
        <f t="shared" si="5"/>
        <v>106.50878686226406</v>
      </c>
      <c r="P81" s="146">
        <v>0.8</v>
      </c>
      <c r="Q81" s="193">
        <f t="shared" si="10"/>
        <v>6827.8</v>
      </c>
      <c r="R81" s="193">
        <f t="shared" si="11"/>
        <v>1681.4000000000005</v>
      </c>
      <c r="S81" s="158"/>
      <c r="T81" s="322">
        <f t="shared" si="6"/>
        <v>0</v>
      </c>
      <c r="U81" s="312" t="e">
        <f t="shared" si="12"/>
        <v>#DIV/0!</v>
      </c>
      <c r="V81" s="269">
        <v>0</v>
      </c>
      <c r="W81" s="192">
        <f t="shared" si="7"/>
        <v>2275.9333333333334</v>
      </c>
      <c r="X81" s="192">
        <f t="shared" si="8"/>
        <v>1681.4000000000005</v>
      </c>
      <c r="Y81" s="269">
        <f t="shared" si="9"/>
        <v>-26.12261636251792</v>
      </c>
      <c r="Z81" s="196">
        <v>1</v>
      </c>
      <c r="AA81" s="196">
        <f>(L28/'приложение 9'!D47)/(M28/'приложение 9'!D48)*100</f>
        <v>132.01712532517138</v>
      </c>
      <c r="AB81" s="581" t="s">
        <v>203</v>
      </c>
      <c r="AC81" s="518">
        <v>0</v>
      </c>
    </row>
    <row r="82" spans="1:29" ht="40.5" customHeight="1" x14ac:dyDescent="0.2">
      <c r="A82" s="525">
        <v>686</v>
      </c>
      <c r="B82" s="523" t="s">
        <v>297</v>
      </c>
      <c r="C82" s="131"/>
      <c r="D82" s="145"/>
      <c r="E82" s="223"/>
      <c r="F82" s="670">
        <f t="shared" si="13"/>
        <v>55562.9</v>
      </c>
      <c r="G82" s="671"/>
      <c r="H82" s="322">
        <f t="shared" si="3"/>
        <v>389945.7</v>
      </c>
      <c r="I82" s="322">
        <f t="shared" si="4"/>
        <v>334365.7</v>
      </c>
      <c r="J82" s="322"/>
      <c r="K82" s="502"/>
      <c r="L82" s="191"/>
      <c r="M82" s="193">
        <f t="shared" si="15"/>
        <v>53583.199999999953</v>
      </c>
      <c r="N82" s="136"/>
      <c r="O82" s="580">
        <f t="shared" si="5"/>
        <v>96.437011027142134</v>
      </c>
      <c r="P82" s="146">
        <v>0.5</v>
      </c>
      <c r="Q82" s="193">
        <f t="shared" si="10"/>
        <v>38262.300000000017</v>
      </c>
      <c r="R82" s="193">
        <f t="shared" si="11"/>
        <v>15320.899999999936</v>
      </c>
      <c r="S82" s="158"/>
      <c r="T82" s="322">
        <f t="shared" si="6"/>
        <v>326887.90000000002</v>
      </c>
      <c r="U82" s="312">
        <f t="shared" si="12"/>
        <v>97.763586396571185</v>
      </c>
      <c r="V82" s="269">
        <f>U82/100</f>
        <v>0.97763586396571189</v>
      </c>
      <c r="W82" s="192">
        <f t="shared" si="7"/>
        <v>12754.100000000006</v>
      </c>
      <c r="X82" s="192">
        <f t="shared" si="8"/>
        <v>15320.899999999936</v>
      </c>
      <c r="Y82" s="269">
        <f t="shared" si="9"/>
        <v>20.125293043020903</v>
      </c>
      <c r="Z82" s="196">
        <v>1</v>
      </c>
      <c r="AA82" s="196">
        <f>(L29/'приложение 9'!D47)/(M29/'приложение 9'!D48)*100</f>
        <v>129.92264372638593</v>
      </c>
      <c r="AB82" s="581" t="s">
        <v>203</v>
      </c>
      <c r="AC82" s="518">
        <v>0</v>
      </c>
    </row>
    <row r="83" spans="1:29" ht="41.25" customHeight="1" x14ac:dyDescent="0.2">
      <c r="A83" s="525">
        <v>688</v>
      </c>
      <c r="B83" s="525" t="s">
        <v>283</v>
      </c>
      <c r="C83" s="131"/>
      <c r="D83" s="145"/>
      <c r="E83" s="223"/>
      <c r="F83" s="670">
        <f t="shared" si="13"/>
        <v>22</v>
      </c>
      <c r="G83" s="671"/>
      <c r="H83" s="322">
        <f t="shared" si="3"/>
        <v>34953.5</v>
      </c>
      <c r="I83" s="322">
        <f t="shared" si="4"/>
        <v>34931.4</v>
      </c>
      <c r="J83" s="322"/>
      <c r="K83" s="502"/>
      <c r="L83" s="191"/>
      <c r="M83" s="193">
        <f t="shared" si="15"/>
        <v>22</v>
      </c>
      <c r="N83" s="136"/>
      <c r="O83" s="580">
        <f t="shared" si="5"/>
        <v>100</v>
      </c>
      <c r="P83" s="146">
        <v>1</v>
      </c>
      <c r="Q83" s="193">
        <f t="shared" si="10"/>
        <v>22</v>
      </c>
      <c r="R83" s="193">
        <f t="shared" si="11"/>
        <v>0</v>
      </c>
      <c r="S83" s="158"/>
      <c r="T83" s="322">
        <f t="shared" si="6"/>
        <v>34931.5</v>
      </c>
      <c r="U83" s="312">
        <f t="shared" si="12"/>
        <v>100.00028627538546</v>
      </c>
      <c r="V83" s="269">
        <v>1</v>
      </c>
      <c r="W83" s="192">
        <f t="shared" si="7"/>
        <v>7.333333333333333</v>
      </c>
      <c r="X83" s="192">
        <f t="shared" si="8"/>
        <v>0</v>
      </c>
      <c r="Y83" s="269">
        <f t="shared" si="9"/>
        <v>-100</v>
      </c>
      <c r="Z83" s="196">
        <v>1</v>
      </c>
      <c r="AA83" s="196" t="str">
        <f>L30</f>
        <v>***</v>
      </c>
      <c r="AB83" s="581"/>
      <c r="AC83" s="518" t="s">
        <v>722</v>
      </c>
    </row>
    <row r="84" spans="1:29" ht="43.5" customHeight="1" x14ac:dyDescent="0.2">
      <c r="A84" s="525">
        <v>691</v>
      </c>
      <c r="B84" s="525" t="s">
        <v>298</v>
      </c>
      <c r="C84" s="131"/>
      <c r="D84" s="145"/>
      <c r="E84" s="223"/>
      <c r="F84" s="670">
        <f t="shared" si="13"/>
        <v>362872.9</v>
      </c>
      <c r="G84" s="671"/>
      <c r="H84" s="322">
        <f t="shared" si="3"/>
        <v>823966</v>
      </c>
      <c r="I84" s="322">
        <f t="shared" si="4"/>
        <v>460348</v>
      </c>
      <c r="J84" s="322"/>
      <c r="K84" s="502"/>
      <c r="L84" s="191"/>
      <c r="M84" s="193">
        <f t="shared" si="15"/>
        <v>347774.89999999991</v>
      </c>
      <c r="N84" s="136"/>
      <c r="O84" s="580">
        <f t="shared" si="5"/>
        <v>95.839314536852953</v>
      </c>
      <c r="P84" s="146">
        <v>0.5</v>
      </c>
      <c r="Q84" s="193">
        <f t="shared" si="10"/>
        <v>215113.89999999997</v>
      </c>
      <c r="R84" s="193">
        <f t="shared" si="11"/>
        <v>132660.99999999994</v>
      </c>
      <c r="S84" s="158"/>
      <c r="T84" s="322">
        <f t="shared" si="6"/>
        <v>460348</v>
      </c>
      <c r="U84" s="312">
        <f t="shared" si="12"/>
        <v>100</v>
      </c>
      <c r="V84" s="269">
        <f t="shared" si="14"/>
        <v>1</v>
      </c>
      <c r="W84" s="192">
        <f t="shared" si="7"/>
        <v>71704.633333333317</v>
      </c>
      <c r="X84" s="192">
        <f t="shared" si="8"/>
        <v>132660.99999999994</v>
      </c>
      <c r="Y84" s="269">
        <f t="shared" si="9"/>
        <v>85.010359628085354</v>
      </c>
      <c r="Z84" s="196">
        <f>1-((Y84-50)/50)</f>
        <v>0.29979280743829295</v>
      </c>
      <c r="AA84" s="196">
        <f>(L31/'приложение 9'!D47)/(M31/'приложение 9'!D48)*100</f>
        <v>164.63329902725775</v>
      </c>
      <c r="AB84" s="581" t="s">
        <v>203</v>
      </c>
      <c r="AC84" s="518">
        <v>0</v>
      </c>
    </row>
    <row r="85" spans="1:29" ht="40.5" customHeight="1" x14ac:dyDescent="0.2">
      <c r="A85" s="525">
        <v>692</v>
      </c>
      <c r="B85" s="525" t="s">
        <v>281</v>
      </c>
      <c r="C85" s="131"/>
      <c r="D85" s="145"/>
      <c r="E85" s="223"/>
      <c r="F85" s="670">
        <f t="shared" si="13"/>
        <v>636.5</v>
      </c>
      <c r="G85" s="671"/>
      <c r="H85" s="322">
        <f t="shared" si="3"/>
        <v>36994.6</v>
      </c>
      <c r="I85" s="322">
        <f t="shared" si="4"/>
        <v>36358.1</v>
      </c>
      <c r="J85" s="322"/>
      <c r="K85" s="502"/>
      <c r="L85" s="191"/>
      <c r="M85" s="193">
        <f t="shared" si="15"/>
        <v>636.5</v>
      </c>
      <c r="N85" s="136"/>
      <c r="O85" s="580">
        <v>17</v>
      </c>
      <c r="P85" s="146">
        <v>0</v>
      </c>
      <c r="Q85" s="193">
        <f t="shared" si="10"/>
        <v>5.2999999999992724</v>
      </c>
      <c r="R85" s="193">
        <f t="shared" si="11"/>
        <v>631.20000000000073</v>
      </c>
      <c r="S85" s="158"/>
      <c r="T85" s="322">
        <f t="shared" si="6"/>
        <v>36358.1</v>
      </c>
      <c r="U85" s="312">
        <f t="shared" si="12"/>
        <v>100</v>
      </c>
      <c r="V85" s="269">
        <v>1</v>
      </c>
      <c r="W85" s="192">
        <f t="shared" si="7"/>
        <v>1.7666666666664241</v>
      </c>
      <c r="X85" s="192">
        <f t="shared" si="8"/>
        <v>631.20000000000073</v>
      </c>
      <c r="Y85" s="269">
        <f t="shared" si="9"/>
        <v>35628.301886797402</v>
      </c>
      <c r="Z85" s="196">
        <v>0</v>
      </c>
      <c r="AA85" s="196" t="str">
        <f>L32</f>
        <v>***</v>
      </c>
      <c r="AB85" s="581"/>
      <c r="AC85" s="518" t="s">
        <v>722</v>
      </c>
    </row>
    <row r="86" spans="1:29" ht="53.25" customHeight="1" x14ac:dyDescent="0.2">
      <c r="A86" s="525">
        <v>696</v>
      </c>
      <c r="B86" s="526" t="s">
        <v>299</v>
      </c>
      <c r="C86" s="131"/>
      <c r="D86" s="145"/>
      <c r="E86" s="223"/>
      <c r="F86" s="670">
        <f t="shared" si="13"/>
        <v>21022.1</v>
      </c>
      <c r="G86" s="671"/>
      <c r="H86" s="322">
        <f t="shared" si="3"/>
        <v>279098.2</v>
      </c>
      <c r="I86" s="322">
        <f t="shared" si="4"/>
        <v>243863.2</v>
      </c>
      <c r="J86" s="322"/>
      <c r="K86" s="502"/>
      <c r="L86" s="191"/>
      <c r="M86" s="193">
        <f t="shared" si="15"/>
        <v>35229.899999999994</v>
      </c>
      <c r="N86" s="136"/>
      <c r="O86" s="580">
        <f t="shared" si="5"/>
        <v>167.58506524086553</v>
      </c>
      <c r="P86" s="146">
        <v>0.8</v>
      </c>
      <c r="Q86" s="193">
        <f t="shared" si="10"/>
        <v>24812.399999999994</v>
      </c>
      <c r="R86" s="193">
        <f t="shared" si="11"/>
        <v>10417.5</v>
      </c>
      <c r="S86" s="158"/>
      <c r="T86" s="322">
        <f t="shared" si="6"/>
        <v>243517.6</v>
      </c>
      <c r="U86" s="312">
        <f t="shared" si="12"/>
        <v>99.858281200279492</v>
      </c>
      <c r="V86" s="269">
        <f t="shared" si="14"/>
        <v>0.99858281200279497</v>
      </c>
      <c r="W86" s="192">
        <f t="shared" si="7"/>
        <v>8270.7999999999975</v>
      </c>
      <c r="X86" s="192">
        <f t="shared" si="8"/>
        <v>10417.5</v>
      </c>
      <c r="Y86" s="269">
        <f t="shared" si="9"/>
        <v>25.955167577501612</v>
      </c>
      <c r="Z86" s="196">
        <v>1</v>
      </c>
      <c r="AA86" s="196">
        <f>(L33/'приложение 9'!D47)/(M33/'приложение 9'!D48)*100</f>
        <v>126.07620468487161</v>
      </c>
      <c r="AB86" s="581" t="s">
        <v>202</v>
      </c>
      <c r="AC86" s="518">
        <v>1</v>
      </c>
    </row>
    <row r="87" spans="1:29" ht="66" customHeight="1" x14ac:dyDescent="0.2">
      <c r="A87" s="525">
        <v>697</v>
      </c>
      <c r="B87" s="525" t="s">
        <v>269</v>
      </c>
      <c r="C87" s="131"/>
      <c r="D87" s="145"/>
      <c r="E87" s="223"/>
      <c r="F87" s="670">
        <f t="shared" si="13"/>
        <v>126349.1</v>
      </c>
      <c r="G87" s="671"/>
      <c r="H87" s="322">
        <f t="shared" si="3"/>
        <v>136362.4</v>
      </c>
      <c r="I87" s="322">
        <f t="shared" si="4"/>
        <v>8760.2999999999993</v>
      </c>
      <c r="J87" s="322"/>
      <c r="K87" s="502"/>
      <c r="L87" s="191"/>
      <c r="M87" s="193">
        <f t="shared" si="15"/>
        <v>120010.2</v>
      </c>
      <c r="N87" s="136"/>
      <c r="O87" s="580">
        <f t="shared" si="5"/>
        <v>94.983027184206293</v>
      </c>
      <c r="P87" s="146">
        <v>0.5</v>
      </c>
      <c r="Q87" s="193">
        <f t="shared" si="10"/>
        <v>81659.700000000012</v>
      </c>
      <c r="R87" s="193">
        <f t="shared" si="11"/>
        <v>38350.499999999985</v>
      </c>
      <c r="S87" s="158"/>
      <c r="T87" s="322">
        <f t="shared" si="6"/>
        <v>8670.2999999999993</v>
      </c>
      <c r="U87" s="312">
        <f t="shared" si="12"/>
        <v>98.972637923358789</v>
      </c>
      <c r="V87" s="269">
        <f>U87/100</f>
        <v>0.98972637923358786</v>
      </c>
      <c r="W87" s="192">
        <f t="shared" si="7"/>
        <v>27219.900000000005</v>
      </c>
      <c r="X87" s="192">
        <f t="shared" si="8"/>
        <v>38350.499999999985</v>
      </c>
      <c r="Y87" s="269">
        <f t="shared" si="9"/>
        <v>40.891406654690059</v>
      </c>
      <c r="Z87" s="196">
        <v>1</v>
      </c>
      <c r="AA87" s="196">
        <f>(L34/'приложение 9'!D47)/(M34/'приложение 9'!D48)*100</f>
        <v>146.4595391760395</v>
      </c>
      <c r="AB87" s="581" t="s">
        <v>203</v>
      </c>
      <c r="AC87" s="518">
        <v>0</v>
      </c>
    </row>
    <row r="88" spans="1:29" ht="40.5" customHeight="1" x14ac:dyDescent="0.2">
      <c r="A88" s="525">
        <v>698</v>
      </c>
      <c r="B88" s="525" t="s">
        <v>286</v>
      </c>
      <c r="C88" s="131"/>
      <c r="D88" s="145"/>
      <c r="E88" s="223"/>
      <c r="F88" s="670">
        <f t="shared" si="13"/>
        <v>5646.3</v>
      </c>
      <c r="G88" s="671"/>
      <c r="H88" s="322">
        <f t="shared" si="3"/>
        <v>5646.3</v>
      </c>
      <c r="I88" s="322">
        <f t="shared" si="4"/>
        <v>0</v>
      </c>
      <c r="J88" s="322"/>
      <c r="K88" s="502"/>
      <c r="L88" s="191"/>
      <c r="M88" s="193">
        <f t="shared" si="15"/>
        <v>5502.9</v>
      </c>
      <c r="N88" s="136"/>
      <c r="O88" s="580">
        <f t="shared" si="5"/>
        <v>97.460283725625615</v>
      </c>
      <c r="P88" s="146">
        <v>0.8</v>
      </c>
      <c r="Q88" s="193">
        <f t="shared" si="10"/>
        <v>3776.9</v>
      </c>
      <c r="R88" s="193">
        <f t="shared" si="11"/>
        <v>1725.9999999999995</v>
      </c>
      <c r="S88" s="158"/>
      <c r="T88" s="322">
        <f t="shared" si="6"/>
        <v>0</v>
      </c>
      <c r="U88" s="312" t="e">
        <f t="shared" si="12"/>
        <v>#DIV/0!</v>
      </c>
      <c r="V88" s="269">
        <v>0</v>
      </c>
      <c r="W88" s="192">
        <f t="shared" si="7"/>
        <v>1258.9666666666667</v>
      </c>
      <c r="X88" s="192">
        <f t="shared" si="8"/>
        <v>1725.9999999999995</v>
      </c>
      <c r="Y88" s="269">
        <f t="shared" si="9"/>
        <v>37.096560671450092</v>
      </c>
      <c r="Z88" s="196">
        <v>1</v>
      </c>
      <c r="AA88" s="196">
        <f>(L35/'приложение 9'!D47)/(M35/'приложение 9'!D48)*100</f>
        <v>156.58227353932477</v>
      </c>
      <c r="AB88" s="581" t="s">
        <v>203</v>
      </c>
      <c r="AC88" s="518">
        <v>0</v>
      </c>
    </row>
    <row r="89" spans="1:29" ht="40.5" customHeight="1" x14ac:dyDescent="0.2">
      <c r="A89" s="525">
        <v>699</v>
      </c>
      <c r="B89" s="526" t="s">
        <v>300</v>
      </c>
      <c r="C89" s="131"/>
      <c r="D89" s="145"/>
      <c r="E89" s="223"/>
      <c r="F89" s="670">
        <f t="shared" si="13"/>
        <v>20463.900000000001</v>
      </c>
      <c r="G89" s="671"/>
      <c r="H89" s="322">
        <f t="shared" si="3"/>
        <v>54865.7</v>
      </c>
      <c r="I89" s="322">
        <f t="shared" si="4"/>
        <v>33351.5</v>
      </c>
      <c r="J89" s="322"/>
      <c r="K89" s="502"/>
      <c r="L89" s="191"/>
      <c r="M89" s="193">
        <f t="shared" si="15"/>
        <v>20322.299999999996</v>
      </c>
      <c r="N89" s="136"/>
      <c r="O89" s="580">
        <f t="shared" si="5"/>
        <v>99.308049785231518</v>
      </c>
      <c r="P89" s="146">
        <v>0.8</v>
      </c>
      <c r="Q89" s="193">
        <f t="shared" si="10"/>
        <v>14009.8</v>
      </c>
      <c r="R89" s="193">
        <f t="shared" si="11"/>
        <v>6312.4999999999964</v>
      </c>
      <c r="S89" s="158"/>
      <c r="T89" s="322">
        <f t="shared" si="6"/>
        <v>33351.4</v>
      </c>
      <c r="U89" s="312">
        <f t="shared" si="12"/>
        <v>99.999700163410935</v>
      </c>
      <c r="V89" s="269">
        <v>1</v>
      </c>
      <c r="W89" s="192">
        <f t="shared" si="7"/>
        <v>4669.9333333333334</v>
      </c>
      <c r="X89" s="192">
        <f t="shared" si="8"/>
        <v>6312.4999999999964</v>
      </c>
      <c r="Y89" s="269">
        <f t="shared" si="9"/>
        <v>35.173235877742648</v>
      </c>
      <c r="Z89" s="196">
        <v>1</v>
      </c>
      <c r="AA89" s="196">
        <f>(L36/'приложение 9'!D47)/(M36/'приложение 9'!D48)*100</f>
        <v>159.60930834174073</v>
      </c>
      <c r="AB89" s="581" t="s">
        <v>203</v>
      </c>
      <c r="AC89" s="518">
        <v>0</v>
      </c>
    </row>
    <row r="90" spans="1:29" ht="51.75" customHeight="1" x14ac:dyDescent="0.2">
      <c r="A90" s="525">
        <v>700</v>
      </c>
      <c r="B90" s="525" t="s">
        <v>270</v>
      </c>
      <c r="C90" s="131"/>
      <c r="D90" s="145"/>
      <c r="E90" s="223"/>
      <c r="F90" s="670">
        <f t="shared" si="13"/>
        <v>22694.7</v>
      </c>
      <c r="G90" s="671"/>
      <c r="H90" s="322">
        <f t="shared" si="3"/>
        <v>22694.7</v>
      </c>
      <c r="I90" s="322">
        <f t="shared" si="4"/>
        <v>2.7</v>
      </c>
      <c r="J90" s="322"/>
      <c r="K90" s="502"/>
      <c r="L90" s="191"/>
      <c r="M90" s="193">
        <f t="shared" si="15"/>
        <v>21278.1</v>
      </c>
      <c r="N90" s="136"/>
      <c r="O90" s="580">
        <f t="shared" si="5"/>
        <v>93.758013985644212</v>
      </c>
      <c r="P90" s="146">
        <v>0</v>
      </c>
      <c r="Q90" s="193">
        <f t="shared" si="10"/>
        <v>0</v>
      </c>
      <c r="R90" s="193">
        <f t="shared" si="11"/>
        <v>21278.1</v>
      </c>
      <c r="S90" s="158"/>
      <c r="T90" s="322">
        <f t="shared" si="6"/>
        <v>0</v>
      </c>
      <c r="U90" s="312">
        <f t="shared" si="12"/>
        <v>0</v>
      </c>
      <c r="V90" s="269">
        <v>0</v>
      </c>
      <c r="W90" s="192">
        <f t="shared" si="7"/>
        <v>0</v>
      </c>
      <c r="X90" s="192">
        <f t="shared" si="8"/>
        <v>21278.1</v>
      </c>
      <c r="Y90" s="269" t="e">
        <f t="shared" si="9"/>
        <v>#DIV/0!</v>
      </c>
      <c r="Z90" s="196">
        <v>1</v>
      </c>
      <c r="AA90" s="196">
        <f>(L37/'приложение 9'!D47)/(M37/'приложение 9'!D48)*100</f>
        <v>127.95573449971609</v>
      </c>
      <c r="AB90" s="581" t="s">
        <v>202</v>
      </c>
      <c r="AC90" s="518">
        <v>1</v>
      </c>
    </row>
    <row r="91" spans="1:29" ht="49.5" customHeight="1" x14ac:dyDescent="0.2">
      <c r="A91" s="525">
        <v>701</v>
      </c>
      <c r="B91" s="525" t="s">
        <v>274</v>
      </c>
      <c r="C91" s="131"/>
      <c r="D91" s="145"/>
      <c r="E91" s="223"/>
      <c r="F91" s="670">
        <f t="shared" si="13"/>
        <v>2650.9</v>
      </c>
      <c r="G91" s="671"/>
      <c r="H91" s="322">
        <f t="shared" si="3"/>
        <v>2650.9</v>
      </c>
      <c r="I91" s="322">
        <f t="shared" si="4"/>
        <v>0</v>
      </c>
      <c r="J91" s="322"/>
      <c r="K91" s="502"/>
      <c r="L91" s="191"/>
      <c r="M91" s="193">
        <f t="shared" si="15"/>
        <v>2643.4</v>
      </c>
      <c r="N91" s="136"/>
      <c r="O91" s="580">
        <f t="shared" si="5"/>
        <v>99.717077219057686</v>
      </c>
      <c r="P91" s="146">
        <v>1</v>
      </c>
      <c r="Q91" s="193">
        <f t="shared" si="10"/>
        <v>0</v>
      </c>
      <c r="R91" s="193">
        <f t="shared" si="11"/>
        <v>2643.4</v>
      </c>
      <c r="S91" s="158"/>
      <c r="T91" s="322">
        <f t="shared" si="6"/>
        <v>0</v>
      </c>
      <c r="U91" s="312" t="e">
        <f t="shared" si="12"/>
        <v>#DIV/0!</v>
      </c>
      <c r="V91" s="269">
        <v>0</v>
      </c>
      <c r="W91" s="192">
        <f t="shared" si="7"/>
        <v>0</v>
      </c>
      <c r="X91" s="192">
        <f t="shared" si="8"/>
        <v>2643.4</v>
      </c>
      <c r="Y91" s="269" t="e">
        <f t="shared" si="9"/>
        <v>#DIV/0!</v>
      </c>
      <c r="Z91" s="196">
        <v>1</v>
      </c>
      <c r="AA91" s="196">
        <f>(L38/'приложение 9'!D47)/(M38/'приложение 9'!D48)*100</f>
        <v>143.65812079504011</v>
      </c>
      <c r="AB91" s="581" t="s">
        <v>203</v>
      </c>
      <c r="AC91" s="518">
        <v>0</v>
      </c>
    </row>
    <row r="92" spans="1:29" ht="40.5" customHeight="1" x14ac:dyDescent="0.2">
      <c r="A92" s="525">
        <v>702</v>
      </c>
      <c r="B92" s="526" t="s">
        <v>301</v>
      </c>
      <c r="C92" s="131"/>
      <c r="D92" s="145"/>
      <c r="E92" s="223"/>
      <c r="F92" s="670">
        <f t="shared" si="13"/>
        <v>3993.8</v>
      </c>
      <c r="G92" s="671"/>
      <c r="H92" s="322">
        <f t="shared" si="3"/>
        <v>5794</v>
      </c>
      <c r="I92" s="322">
        <f t="shared" si="4"/>
        <v>0</v>
      </c>
      <c r="J92" s="322"/>
      <c r="K92" s="502"/>
      <c r="L92" s="191"/>
      <c r="M92" s="193">
        <f t="shared" si="15"/>
        <v>3992.8</v>
      </c>
      <c r="N92" s="136"/>
      <c r="O92" s="580">
        <f t="shared" si="5"/>
        <v>99.974961189844265</v>
      </c>
      <c r="P92" s="146">
        <v>1</v>
      </c>
      <c r="Q92" s="193">
        <f t="shared" si="10"/>
        <v>1800.2000000000003</v>
      </c>
      <c r="R92" s="193">
        <f t="shared" si="11"/>
        <v>2192.6</v>
      </c>
      <c r="S92" s="158"/>
      <c r="T92" s="322">
        <f t="shared" si="6"/>
        <v>0</v>
      </c>
      <c r="U92" s="312" t="e">
        <f t="shared" si="12"/>
        <v>#DIV/0!</v>
      </c>
      <c r="V92" s="269">
        <v>0</v>
      </c>
      <c r="W92" s="192">
        <f t="shared" si="7"/>
        <v>600.06666666666672</v>
      </c>
      <c r="X92" s="192">
        <f t="shared" si="8"/>
        <v>2192.6</v>
      </c>
      <c r="Y92" s="269">
        <f t="shared" si="9"/>
        <v>265.39273414065104</v>
      </c>
      <c r="Z92" s="196">
        <v>0</v>
      </c>
      <c r="AA92" s="196">
        <f>(L39/'приложение 9'!D47)/(M39/'приложение 9'!D48)*100</f>
        <v>151.15394438353962</v>
      </c>
      <c r="AB92" s="581" t="s">
        <v>203</v>
      </c>
      <c r="AC92" s="518">
        <v>0</v>
      </c>
    </row>
    <row r="93" spans="1:29" ht="40.5" customHeight="1" x14ac:dyDescent="0.2">
      <c r="A93" s="525">
        <v>705</v>
      </c>
      <c r="B93" s="525" t="s">
        <v>275</v>
      </c>
      <c r="C93" s="131"/>
      <c r="D93" s="145"/>
      <c r="E93" s="223"/>
      <c r="F93" s="670">
        <f t="shared" si="13"/>
        <v>122910.6</v>
      </c>
      <c r="G93" s="671"/>
      <c r="H93" s="322">
        <f t="shared" si="3"/>
        <v>137577.4</v>
      </c>
      <c r="I93" s="322">
        <f t="shared" si="4"/>
        <v>48985.5</v>
      </c>
      <c r="J93" s="322"/>
      <c r="K93" s="502"/>
      <c r="L93" s="191"/>
      <c r="M93" s="193">
        <f>S40-T40-U40</f>
        <v>71727.299999999988</v>
      </c>
      <c r="N93" s="136"/>
      <c r="O93" s="580">
        <f t="shared" si="5"/>
        <v>58.35729383796027</v>
      </c>
      <c r="P93" s="146">
        <v>0</v>
      </c>
      <c r="Q93" s="193">
        <f t="shared" si="10"/>
        <v>-12327.3</v>
      </c>
      <c r="R93" s="193">
        <f t="shared" si="11"/>
        <v>84054.599999999991</v>
      </c>
      <c r="S93" s="158"/>
      <c r="T93" s="322">
        <f t="shared" si="6"/>
        <v>46082.400000000001</v>
      </c>
      <c r="U93" s="312">
        <f t="shared" si="12"/>
        <v>94.073552377744434</v>
      </c>
      <c r="V93" s="269">
        <v>0</v>
      </c>
      <c r="W93" s="192">
        <f t="shared" si="7"/>
        <v>-4109.0999999999995</v>
      </c>
      <c r="X93" s="192">
        <f t="shared" si="8"/>
        <v>84054.599999999991</v>
      </c>
      <c r="Y93" s="269">
        <f t="shared" si="9"/>
        <v>-2145.5720230707457</v>
      </c>
      <c r="Z93" s="196">
        <v>1</v>
      </c>
      <c r="AA93" s="196">
        <f>(L40/'приложение 9'!D47)/(M40/'приложение 9'!D48)*100</f>
        <v>124.37914396905201</v>
      </c>
      <c r="AB93" s="581" t="s">
        <v>202</v>
      </c>
      <c r="AC93" s="518">
        <v>1</v>
      </c>
    </row>
    <row r="94" spans="1:29" ht="64.5" customHeight="1" x14ac:dyDescent="0.2">
      <c r="A94" s="525">
        <v>820</v>
      </c>
      <c r="B94" s="525" t="s">
        <v>276</v>
      </c>
      <c r="C94" s="131"/>
      <c r="D94" s="145"/>
      <c r="E94" s="223"/>
      <c r="F94" s="670">
        <f t="shared" si="13"/>
        <v>4455</v>
      </c>
      <c r="G94" s="671"/>
      <c r="H94" s="322">
        <f t="shared" si="3"/>
        <v>4455</v>
      </c>
      <c r="I94" s="322">
        <f t="shared" si="4"/>
        <v>188.4</v>
      </c>
      <c r="J94" s="322"/>
      <c r="K94" s="502"/>
      <c r="L94" s="191"/>
      <c r="M94" s="193">
        <f t="shared" si="15"/>
        <v>4250.5</v>
      </c>
      <c r="N94" s="136"/>
      <c r="O94" s="580">
        <f t="shared" si="5"/>
        <v>95.409652076318736</v>
      </c>
      <c r="P94" s="146">
        <v>0.5</v>
      </c>
      <c r="Q94" s="193">
        <f t="shared" si="10"/>
        <v>-118.4</v>
      </c>
      <c r="R94" s="193">
        <f t="shared" si="11"/>
        <v>4368.8999999999996</v>
      </c>
      <c r="S94" s="158"/>
      <c r="T94" s="322">
        <f t="shared" si="6"/>
        <v>188.4</v>
      </c>
      <c r="U94" s="312">
        <f t="shared" si="12"/>
        <v>100</v>
      </c>
      <c r="V94" s="269">
        <v>1</v>
      </c>
      <c r="W94" s="192">
        <f t="shared" si="7"/>
        <v>-39.466666666666669</v>
      </c>
      <c r="X94" s="192">
        <f t="shared" si="8"/>
        <v>4368.8999999999996</v>
      </c>
      <c r="Y94" s="269">
        <f t="shared" si="9"/>
        <v>-11169.84797297297</v>
      </c>
      <c r="Z94" s="196">
        <v>1</v>
      </c>
      <c r="AA94" s="196">
        <f>(L41/'приложение 9'!D47)/(M41/'приложение 9'!D48)*100</f>
        <v>159.34150910336226</v>
      </c>
      <c r="AB94" s="581" t="s">
        <v>203</v>
      </c>
      <c r="AC94" s="518">
        <v>0</v>
      </c>
    </row>
    <row r="95" spans="1:29" ht="67.5" customHeight="1" x14ac:dyDescent="0.2">
      <c r="A95" s="525">
        <v>830</v>
      </c>
      <c r="B95" s="525" t="s">
        <v>277</v>
      </c>
      <c r="C95" s="131"/>
      <c r="D95" s="145"/>
      <c r="E95" s="223"/>
      <c r="F95" s="670">
        <f t="shared" si="13"/>
        <v>4665.6000000000004</v>
      </c>
      <c r="G95" s="671"/>
      <c r="H95" s="322">
        <f t="shared" si="3"/>
        <v>4665.6000000000004</v>
      </c>
      <c r="I95" s="322">
        <f t="shared" si="4"/>
        <v>188.4</v>
      </c>
      <c r="J95" s="322"/>
      <c r="K95" s="502"/>
      <c r="L95" s="191"/>
      <c r="M95" s="193">
        <f t="shared" si="15"/>
        <v>4446.5</v>
      </c>
      <c r="N95" s="136"/>
      <c r="O95" s="580">
        <f t="shared" si="5"/>
        <v>95.303926611796967</v>
      </c>
      <c r="P95" s="146">
        <v>0.5</v>
      </c>
      <c r="Q95" s="193">
        <f t="shared" si="10"/>
        <v>-129.9</v>
      </c>
      <c r="R95" s="193">
        <f t="shared" si="11"/>
        <v>4576.3999999999996</v>
      </c>
      <c r="S95" s="158"/>
      <c r="T95" s="322">
        <f t="shared" si="6"/>
        <v>188.4</v>
      </c>
      <c r="U95" s="312">
        <f t="shared" si="12"/>
        <v>100</v>
      </c>
      <c r="V95" s="269">
        <v>1</v>
      </c>
      <c r="W95" s="192">
        <f t="shared" si="7"/>
        <v>-43.300000000000004</v>
      </c>
      <c r="X95" s="192">
        <f t="shared" si="8"/>
        <v>4576.3999999999996</v>
      </c>
      <c r="Y95" s="269">
        <f t="shared" si="9"/>
        <v>-10669.053117782909</v>
      </c>
      <c r="Z95" s="196">
        <v>1</v>
      </c>
      <c r="AA95" s="196">
        <f>(L42/'приложение 9'!D47)/(M42/'приложение 9'!D48)*100</f>
        <v>158.72757810654255</v>
      </c>
      <c r="AB95" s="581" t="s">
        <v>203</v>
      </c>
      <c r="AC95" s="518">
        <v>0</v>
      </c>
    </row>
    <row r="96" spans="1:29" ht="61.5" customHeight="1" x14ac:dyDescent="0.2">
      <c r="A96" s="525">
        <v>840</v>
      </c>
      <c r="B96" s="525" t="s">
        <v>278</v>
      </c>
      <c r="C96" s="131"/>
      <c r="D96" s="145"/>
      <c r="E96" s="223"/>
      <c r="F96" s="670">
        <f t="shared" si="13"/>
        <v>6446.8</v>
      </c>
      <c r="G96" s="671"/>
      <c r="H96" s="322">
        <f t="shared" si="3"/>
        <v>6455.8</v>
      </c>
      <c r="I96" s="322">
        <f t="shared" si="4"/>
        <v>1244.5999999999999</v>
      </c>
      <c r="J96" s="322"/>
      <c r="K96" s="502"/>
      <c r="L96" s="191"/>
      <c r="M96" s="193">
        <f t="shared" si="15"/>
        <v>5140.2000000000007</v>
      </c>
      <c r="N96" s="136"/>
      <c r="O96" s="580">
        <f t="shared" si="5"/>
        <v>79.732580505056788</v>
      </c>
      <c r="P96" s="146">
        <v>0</v>
      </c>
      <c r="Q96" s="193">
        <f t="shared" si="10"/>
        <v>-1186</v>
      </c>
      <c r="R96" s="193">
        <f t="shared" si="11"/>
        <v>6326.2000000000007</v>
      </c>
      <c r="S96" s="158"/>
      <c r="T96" s="322">
        <f t="shared" si="6"/>
        <v>1244.5999999999999</v>
      </c>
      <c r="U96" s="312">
        <f t="shared" si="12"/>
        <v>100</v>
      </c>
      <c r="V96" s="269">
        <v>1</v>
      </c>
      <c r="W96" s="192">
        <f t="shared" si="7"/>
        <v>-395.33333333333331</v>
      </c>
      <c r="X96" s="192">
        <f t="shared" si="8"/>
        <v>6326.2000000000007</v>
      </c>
      <c r="Y96" s="269">
        <f t="shared" si="9"/>
        <v>-1700.2192242833055</v>
      </c>
      <c r="Z96" s="196">
        <v>1</v>
      </c>
      <c r="AA96" s="196">
        <f>(L43/'приложение 9'!D47)/(M43/'приложение 9'!D48)*100</f>
        <v>177.57749697801111</v>
      </c>
      <c r="AB96" s="581" t="s">
        <v>203</v>
      </c>
      <c r="AC96" s="518">
        <v>0</v>
      </c>
    </row>
    <row r="97" spans="1:29" ht="69" customHeight="1" x14ac:dyDescent="0.2">
      <c r="A97" s="525">
        <v>850</v>
      </c>
      <c r="B97" s="525" t="s">
        <v>279</v>
      </c>
      <c r="C97" s="131"/>
      <c r="D97" s="145"/>
      <c r="E97" s="223"/>
      <c r="F97" s="670">
        <f t="shared" si="13"/>
        <v>4474.8</v>
      </c>
      <c r="G97" s="671"/>
      <c r="H97" s="322">
        <f t="shared" si="3"/>
        <v>4474.8</v>
      </c>
      <c r="I97" s="322">
        <f t="shared" si="4"/>
        <v>188.4</v>
      </c>
      <c r="J97" s="322"/>
      <c r="K97" s="502"/>
      <c r="L97" s="191"/>
      <c r="M97" s="193">
        <f t="shared" si="15"/>
        <v>4086.2000000000003</v>
      </c>
      <c r="N97" s="136"/>
      <c r="O97" s="580">
        <f t="shared" si="5"/>
        <v>91.315812997228932</v>
      </c>
      <c r="P97" s="146">
        <v>0</v>
      </c>
      <c r="Q97" s="193">
        <f t="shared" si="10"/>
        <v>-96.1</v>
      </c>
      <c r="R97" s="193">
        <f t="shared" si="11"/>
        <v>4182.3</v>
      </c>
      <c r="S97" s="158"/>
      <c r="T97" s="322">
        <f t="shared" si="6"/>
        <v>188.4</v>
      </c>
      <c r="U97" s="312">
        <f t="shared" si="12"/>
        <v>100</v>
      </c>
      <c r="V97" s="269">
        <v>1</v>
      </c>
      <c r="W97" s="192">
        <f t="shared" si="7"/>
        <v>-32.033333333333331</v>
      </c>
      <c r="X97" s="192">
        <f t="shared" si="8"/>
        <v>4182.3</v>
      </c>
      <c r="Y97" s="269">
        <f t="shared" si="9"/>
        <v>-13156.087408949013</v>
      </c>
      <c r="Z97" s="196">
        <v>1</v>
      </c>
      <c r="AA97" s="196">
        <f>(L44/'приложение 9'!D47)/(M44/'приложение 9'!D48)*100</f>
        <v>137.62187205136925</v>
      </c>
      <c r="AB97" s="581" t="s">
        <v>203</v>
      </c>
      <c r="AC97" s="518">
        <v>0</v>
      </c>
    </row>
    <row r="98" spans="1:29" ht="63" customHeight="1" x14ac:dyDescent="0.2">
      <c r="A98" s="525">
        <v>860</v>
      </c>
      <c r="B98" s="525" t="s">
        <v>280</v>
      </c>
      <c r="C98" s="131"/>
      <c r="D98" s="145"/>
      <c r="E98" s="223"/>
      <c r="F98" s="670">
        <f t="shared" si="13"/>
        <v>13466</v>
      </c>
      <c r="G98" s="671"/>
      <c r="H98" s="322">
        <f t="shared" si="3"/>
        <v>15345.8</v>
      </c>
      <c r="I98" s="322">
        <f t="shared" si="4"/>
        <v>188.4</v>
      </c>
      <c r="J98" s="322"/>
      <c r="K98" s="502"/>
      <c r="L98" s="191"/>
      <c r="M98" s="193">
        <f t="shared" si="15"/>
        <v>13050.300000000001</v>
      </c>
      <c r="N98" s="136"/>
      <c r="O98" s="580">
        <f t="shared" si="5"/>
        <v>96.91296598841528</v>
      </c>
      <c r="P98" s="146">
        <v>0.8</v>
      </c>
      <c r="Q98" s="193">
        <f t="shared" si="10"/>
        <v>-139.5</v>
      </c>
      <c r="R98" s="193">
        <f t="shared" si="11"/>
        <v>13189.800000000001</v>
      </c>
      <c r="S98" s="158"/>
      <c r="T98" s="322">
        <f t="shared" si="6"/>
        <v>188.4</v>
      </c>
      <c r="U98" s="312">
        <f t="shared" si="12"/>
        <v>100</v>
      </c>
      <c r="V98" s="269">
        <v>1</v>
      </c>
      <c r="W98" s="192">
        <f t="shared" si="7"/>
        <v>-46.5</v>
      </c>
      <c r="X98" s="192">
        <f t="shared" si="8"/>
        <v>13189.800000000001</v>
      </c>
      <c r="Y98" s="269">
        <f t="shared" si="9"/>
        <v>-28465.16129032258</v>
      </c>
      <c r="Z98" s="196">
        <v>1</v>
      </c>
      <c r="AA98" s="196">
        <f>(L45/'приложение 9'!D47)/(M45/'приложение 9'!D48)*100</f>
        <v>153.69452777797235</v>
      </c>
      <c r="AB98" s="581" t="s">
        <v>203</v>
      </c>
      <c r="AC98" s="518">
        <v>0</v>
      </c>
    </row>
    <row r="99" spans="1:29" ht="64.5" customHeight="1" x14ac:dyDescent="0.2">
      <c r="A99" s="525">
        <v>870</v>
      </c>
      <c r="B99" s="525" t="s">
        <v>272</v>
      </c>
      <c r="C99" s="131"/>
      <c r="D99" s="145"/>
      <c r="E99" s="223"/>
      <c r="F99" s="670">
        <f t="shared" si="13"/>
        <v>7007.7</v>
      </c>
      <c r="G99" s="671"/>
      <c r="H99" s="322">
        <f t="shared" si="3"/>
        <v>7007.7</v>
      </c>
      <c r="I99" s="322">
        <f t="shared" si="4"/>
        <v>188.4</v>
      </c>
      <c r="J99" s="322"/>
      <c r="K99" s="502"/>
      <c r="L99" s="191"/>
      <c r="M99" s="193">
        <f t="shared" si="15"/>
        <v>6597.7000000000007</v>
      </c>
      <c r="N99" s="136"/>
      <c r="O99" s="580">
        <f t="shared" si="5"/>
        <v>94.149292920644442</v>
      </c>
      <c r="P99" s="146">
        <v>0</v>
      </c>
      <c r="Q99" s="193">
        <f t="shared" si="10"/>
        <v>-126.2</v>
      </c>
      <c r="R99" s="193">
        <f t="shared" si="11"/>
        <v>6723.9000000000005</v>
      </c>
      <c r="S99" s="158"/>
      <c r="T99" s="322">
        <f t="shared" si="6"/>
        <v>188.4</v>
      </c>
      <c r="U99" s="312">
        <f t="shared" si="12"/>
        <v>100</v>
      </c>
      <c r="V99" s="269">
        <v>1</v>
      </c>
      <c r="W99" s="192">
        <f t="shared" si="7"/>
        <v>-42.06666666666667</v>
      </c>
      <c r="X99" s="192">
        <f t="shared" si="8"/>
        <v>6723.9000000000005</v>
      </c>
      <c r="Y99" s="269">
        <f t="shared" si="9"/>
        <v>-16083.914421553091</v>
      </c>
      <c r="Z99" s="196">
        <v>1</v>
      </c>
      <c r="AA99" s="196">
        <f>(L46/'приложение 9'!D47)/(M46/'приложение 9'!D48)*100</f>
        <v>125.98490388658396</v>
      </c>
      <c r="AB99" s="581" t="s">
        <v>202</v>
      </c>
      <c r="AC99" s="518">
        <v>1</v>
      </c>
    </row>
    <row r="100" spans="1:29" ht="62.25" customHeight="1" x14ac:dyDescent="0.2">
      <c r="A100" s="525">
        <v>880</v>
      </c>
      <c r="B100" s="525" t="s">
        <v>273</v>
      </c>
      <c r="C100" s="131"/>
      <c r="D100" s="145"/>
      <c r="E100" s="223"/>
      <c r="F100" s="670">
        <f t="shared" si="13"/>
        <v>17422.900000000001</v>
      </c>
      <c r="G100" s="671"/>
      <c r="H100" s="322">
        <f t="shared" si="3"/>
        <v>17422.900000000001</v>
      </c>
      <c r="I100" s="322">
        <f t="shared" si="4"/>
        <v>11742.4</v>
      </c>
      <c r="J100" s="322"/>
      <c r="K100" s="502"/>
      <c r="L100" s="191"/>
      <c r="M100" s="193">
        <f t="shared" si="15"/>
        <v>5594.1</v>
      </c>
      <c r="N100" s="136"/>
      <c r="O100" s="580">
        <f t="shared" si="5"/>
        <v>32.10774325743705</v>
      </c>
      <c r="P100" s="146">
        <v>0</v>
      </c>
      <c r="Q100" s="193">
        <f t="shared" si="10"/>
        <v>-10267.799999999999</v>
      </c>
      <c r="R100" s="193">
        <f t="shared" si="11"/>
        <v>15861.9</v>
      </c>
      <c r="S100" s="158"/>
      <c r="T100" s="322">
        <f t="shared" si="6"/>
        <v>11742.4</v>
      </c>
      <c r="U100" s="312">
        <f t="shared" si="12"/>
        <v>100</v>
      </c>
      <c r="V100" s="269">
        <v>1</v>
      </c>
      <c r="W100" s="192">
        <f t="shared" si="7"/>
        <v>-3422.6</v>
      </c>
      <c r="X100" s="192">
        <f t="shared" si="8"/>
        <v>15861.9</v>
      </c>
      <c r="Y100" s="269">
        <f t="shared" si="9"/>
        <v>-563.44591830771924</v>
      </c>
      <c r="Z100" s="196">
        <v>1</v>
      </c>
      <c r="AA100" s="196">
        <f>(L47/'приложение 9'!D47)/(M47/'приложение 9'!D48)*100</f>
        <v>148.94208497679463</v>
      </c>
      <c r="AB100" s="581" t="s">
        <v>203</v>
      </c>
      <c r="AC100" s="518">
        <v>0</v>
      </c>
    </row>
    <row r="101" spans="1:29" ht="15.75" x14ac:dyDescent="0.2">
      <c r="A101" s="133" t="s">
        <v>32</v>
      </c>
      <c r="B101" s="134"/>
      <c r="C101" s="131" t="e">
        <f>#REF!+C78+C77+C76+C74+C73+#REF!+C72+C71+#REF!+C79</f>
        <v>#REF!</v>
      </c>
      <c r="D101" s="234"/>
      <c r="E101" s="235"/>
      <c r="F101" s="677">
        <f>SUM(F71:G100)</f>
        <v>1194598.6000000003</v>
      </c>
      <c r="G101" s="678"/>
      <c r="H101" s="135">
        <f>SUM(H71:H100)</f>
        <v>2641441.7999999998</v>
      </c>
      <c r="I101" s="135">
        <f>SUM(I71:I100)</f>
        <v>1391575.3999999994</v>
      </c>
      <c r="J101" s="154"/>
      <c r="K101" s="236"/>
      <c r="L101" s="512"/>
      <c r="M101" s="238">
        <f t="shared" si="15"/>
        <v>1152602.2000000007</v>
      </c>
      <c r="N101" s="154"/>
      <c r="O101" s="154"/>
      <c r="P101" s="154"/>
      <c r="Q101" s="237">
        <f>SUM(Q71:Q100)</f>
        <v>662114.69999999995</v>
      </c>
      <c r="R101" s="238">
        <f>SUM(R71:R100)</f>
        <v>490487.49999999988</v>
      </c>
      <c r="S101" s="239"/>
      <c r="T101" s="154">
        <f t="shared" ref="T101" si="16">U48</f>
        <v>1354511.3999999994</v>
      </c>
      <c r="U101" s="240"/>
      <c r="V101" s="241"/>
      <c r="W101" s="237">
        <f t="shared" si="7"/>
        <v>220704.9</v>
      </c>
      <c r="X101" s="237">
        <f t="shared" si="8"/>
        <v>490487.49999999988</v>
      </c>
      <c r="Y101" s="582"/>
      <c r="Z101" s="582"/>
      <c r="AA101" s="583">
        <f>((AA71+AA72+AA73+AA79+AA81+AA82+AA84+AA86+AA87+AA88+AA89+AA90+AA91+AA92+AA93+AA94+AA95+AA96+AA97+AA98+AA99+AA100)-(AA74+AA75))/22</f>
        <v>128.10299150611547</v>
      </c>
      <c r="AB101" s="584"/>
      <c r="AC101" s="585"/>
    </row>
    <row r="102" spans="1:29" ht="42" customHeight="1" x14ac:dyDescent="0.2">
      <c r="Z102" s="130"/>
      <c r="AA102" s="668" t="s">
        <v>723</v>
      </c>
      <c r="AB102" s="669"/>
    </row>
    <row r="103" spans="1:29" ht="42" customHeight="1" x14ac:dyDescent="0.2">
      <c r="Z103" s="130"/>
      <c r="AA103" s="517"/>
      <c r="AB103" s="586"/>
    </row>
    <row r="104" spans="1:29" ht="42" customHeight="1" x14ac:dyDescent="0.2">
      <c r="Z104" s="130"/>
      <c r="AA104" s="517"/>
      <c r="AB104" s="586"/>
    </row>
    <row r="107" spans="1:29" x14ac:dyDescent="0.2">
      <c r="A107" s="10" t="s">
        <v>732</v>
      </c>
    </row>
    <row r="108" spans="1:29" ht="45" customHeight="1" x14ac:dyDescent="0.2">
      <c r="A108" s="702" t="s">
        <v>33</v>
      </c>
      <c r="B108" s="702" t="s">
        <v>34</v>
      </c>
      <c r="D108" s="674" t="s">
        <v>47</v>
      </c>
      <c r="E108" s="675"/>
      <c r="F108" s="676"/>
    </row>
    <row r="109" spans="1:29" ht="12.75" customHeight="1" x14ac:dyDescent="0.2">
      <c r="A109" s="703"/>
      <c r="B109" s="703"/>
      <c r="D109" s="719" t="s">
        <v>49</v>
      </c>
      <c r="E109" s="719" t="s">
        <v>48</v>
      </c>
      <c r="F109" s="738" t="s">
        <v>228</v>
      </c>
      <c r="G109" s="719" t="s">
        <v>229</v>
      </c>
      <c r="H109" s="702" t="s">
        <v>378</v>
      </c>
      <c r="I109" s="692" t="s">
        <v>725</v>
      </c>
    </row>
    <row r="110" spans="1:29" ht="58.9" customHeight="1" x14ac:dyDescent="0.2">
      <c r="A110" s="704"/>
      <c r="B110" s="704"/>
      <c r="D110" s="737"/>
      <c r="E110" s="737"/>
      <c r="F110" s="739"/>
      <c r="G110" s="720"/>
      <c r="H110" s="704"/>
      <c r="I110" s="736"/>
    </row>
    <row r="111" spans="1:29" ht="45" x14ac:dyDescent="0.2">
      <c r="A111" s="525">
        <v>557</v>
      </c>
      <c r="B111" s="525" t="s">
        <v>268</v>
      </c>
      <c r="D111" s="322">
        <f>H71</f>
        <v>108129.5</v>
      </c>
      <c r="E111" s="322">
        <f>I71</f>
        <v>23312.3</v>
      </c>
      <c r="F111" s="146">
        <f t="shared" ref="F111:F120" si="17">D111-E111</f>
        <v>84817.2</v>
      </c>
      <c r="G111" s="720"/>
      <c r="H111" s="46">
        <v>1.05</v>
      </c>
    </row>
    <row r="112" spans="1:29" ht="70.5" customHeight="1" x14ac:dyDescent="0.2">
      <c r="A112" s="525">
        <v>559</v>
      </c>
      <c r="B112" s="525" t="s">
        <v>292</v>
      </c>
      <c r="D112" s="322">
        <f>H72</f>
        <v>12629.1</v>
      </c>
      <c r="E112" s="322">
        <f>I72</f>
        <v>312</v>
      </c>
      <c r="F112" s="146">
        <f t="shared" si="17"/>
        <v>12317.1</v>
      </c>
      <c r="G112" s="720"/>
      <c r="H112" s="46"/>
    </row>
    <row r="113" spans="1:8" ht="30" x14ac:dyDescent="0.2">
      <c r="A113" s="525">
        <v>560</v>
      </c>
      <c r="B113" s="526" t="s">
        <v>291</v>
      </c>
      <c r="D113" s="322">
        <f t="shared" ref="D113:D140" si="18">H73</f>
        <v>241300.6</v>
      </c>
      <c r="E113" s="322">
        <f t="shared" ref="E113:E140" si="19">I73</f>
        <v>2731.1</v>
      </c>
      <c r="F113" s="146">
        <f t="shared" si="17"/>
        <v>238569.5</v>
      </c>
      <c r="G113" s="720"/>
      <c r="H113" s="46">
        <v>1.05</v>
      </c>
    </row>
    <row r="114" spans="1:8" ht="30" x14ac:dyDescent="0.2">
      <c r="A114" s="525">
        <v>601</v>
      </c>
      <c r="B114" s="525" t="s">
        <v>271</v>
      </c>
      <c r="D114" s="322">
        <f t="shared" si="18"/>
        <v>157477.20000000001</v>
      </c>
      <c r="E114" s="322">
        <f t="shared" si="19"/>
        <v>105450.7</v>
      </c>
      <c r="F114" s="146">
        <f t="shared" si="17"/>
        <v>52026.500000000015</v>
      </c>
      <c r="G114" s="720"/>
      <c r="H114" s="46">
        <v>1.05</v>
      </c>
    </row>
    <row r="115" spans="1:8" ht="30" x14ac:dyDescent="0.2">
      <c r="A115" s="525">
        <v>602</v>
      </c>
      <c r="B115" s="525" t="s">
        <v>320</v>
      </c>
      <c r="D115" s="322">
        <f t="shared" si="18"/>
        <v>2280.4</v>
      </c>
      <c r="E115" s="322">
        <f t="shared" si="19"/>
        <v>0</v>
      </c>
      <c r="F115" s="146">
        <f t="shared" si="17"/>
        <v>2280.4</v>
      </c>
      <c r="G115" s="720"/>
      <c r="H115" s="46"/>
    </row>
    <row r="116" spans="1:8" ht="15" x14ac:dyDescent="0.2">
      <c r="A116" s="525">
        <v>603</v>
      </c>
      <c r="B116" s="523" t="s">
        <v>293</v>
      </c>
      <c r="D116" s="322">
        <f t="shared" si="18"/>
        <v>17049.7</v>
      </c>
      <c r="E116" s="322">
        <f t="shared" si="19"/>
        <v>3547.8</v>
      </c>
      <c r="F116" s="146">
        <f t="shared" si="17"/>
        <v>13501.900000000001</v>
      </c>
      <c r="G116" s="720"/>
      <c r="H116" s="46"/>
    </row>
    <row r="117" spans="1:8" ht="15" x14ac:dyDescent="0.2">
      <c r="A117" s="525">
        <v>604</v>
      </c>
      <c r="B117" s="525" t="s">
        <v>294</v>
      </c>
      <c r="D117" s="322">
        <f t="shared" si="18"/>
        <v>4739.8999999999996</v>
      </c>
      <c r="E117" s="322">
        <f t="shared" si="19"/>
        <v>2059.3000000000002</v>
      </c>
      <c r="F117" s="146">
        <f t="shared" si="17"/>
        <v>2680.5999999999995</v>
      </c>
      <c r="G117" s="720"/>
      <c r="H117" s="46"/>
    </row>
    <row r="118" spans="1:8" ht="15" x14ac:dyDescent="0.2">
      <c r="A118" s="525">
        <v>605</v>
      </c>
      <c r="B118" s="523" t="s">
        <v>295</v>
      </c>
      <c r="D118" s="322">
        <f t="shared" si="18"/>
        <v>65642.399999999994</v>
      </c>
      <c r="E118" s="322">
        <f t="shared" si="19"/>
        <v>29379.3</v>
      </c>
      <c r="F118" s="146">
        <f t="shared" si="17"/>
        <v>36263.099999999991</v>
      </c>
      <c r="G118" s="720"/>
      <c r="H118" s="46"/>
    </row>
    <row r="119" spans="1:8" ht="15" x14ac:dyDescent="0.2">
      <c r="A119" s="525">
        <v>606</v>
      </c>
      <c r="B119" s="521" t="s">
        <v>290</v>
      </c>
      <c r="D119" s="322">
        <f t="shared" si="18"/>
        <v>9706.7000000000007</v>
      </c>
      <c r="E119" s="322">
        <f t="shared" si="19"/>
        <v>0</v>
      </c>
      <c r="F119" s="146">
        <f t="shared" si="17"/>
        <v>9706.7000000000007</v>
      </c>
      <c r="G119" s="720"/>
      <c r="H119" s="46"/>
    </row>
    <row r="120" spans="1:8" ht="15" x14ac:dyDescent="0.2">
      <c r="A120" s="525">
        <v>608</v>
      </c>
      <c r="B120" s="525" t="s">
        <v>296</v>
      </c>
      <c r="D120" s="322">
        <f t="shared" si="18"/>
        <v>23427</v>
      </c>
      <c r="E120" s="322">
        <f t="shared" si="19"/>
        <v>9887.5</v>
      </c>
      <c r="F120" s="146">
        <f t="shared" si="17"/>
        <v>13539.5</v>
      </c>
      <c r="G120" s="721"/>
      <c r="H120" s="46"/>
    </row>
    <row r="121" spans="1:8" ht="45" x14ac:dyDescent="0.2">
      <c r="A121" s="525">
        <v>685</v>
      </c>
      <c r="B121" s="525" t="s">
        <v>282</v>
      </c>
      <c r="D121" s="322">
        <f t="shared" si="18"/>
        <v>8682.2999999999993</v>
      </c>
      <c r="E121" s="322">
        <f t="shared" si="19"/>
        <v>0</v>
      </c>
      <c r="F121" s="146">
        <f t="shared" ref="F121:F140" si="20">D121-E121</f>
        <v>8682.2999999999993</v>
      </c>
      <c r="G121" s="721"/>
      <c r="H121" s="46"/>
    </row>
    <row r="122" spans="1:8" ht="15" x14ac:dyDescent="0.2">
      <c r="A122" s="525">
        <v>686</v>
      </c>
      <c r="B122" s="523" t="s">
        <v>297</v>
      </c>
      <c r="D122" s="322">
        <f t="shared" si="18"/>
        <v>389945.7</v>
      </c>
      <c r="E122" s="322">
        <f t="shared" si="19"/>
        <v>334365.7</v>
      </c>
      <c r="F122" s="146">
        <f t="shared" si="20"/>
        <v>55580</v>
      </c>
      <c r="G122" s="721"/>
      <c r="H122" s="46">
        <v>1.05</v>
      </c>
    </row>
    <row r="123" spans="1:8" ht="15" x14ac:dyDescent="0.2">
      <c r="A123" s="525">
        <v>688</v>
      </c>
      <c r="B123" s="525" t="s">
        <v>283</v>
      </c>
      <c r="D123" s="322">
        <f t="shared" si="18"/>
        <v>34953.5</v>
      </c>
      <c r="E123" s="322">
        <f t="shared" si="19"/>
        <v>34931.4</v>
      </c>
      <c r="F123" s="146">
        <f t="shared" si="20"/>
        <v>22.099999999998545</v>
      </c>
      <c r="G123" s="721"/>
      <c r="H123" s="46"/>
    </row>
    <row r="124" spans="1:8" ht="15" x14ac:dyDescent="0.2">
      <c r="A124" s="525">
        <v>691</v>
      </c>
      <c r="B124" s="525" t="s">
        <v>298</v>
      </c>
      <c r="D124" s="322">
        <f t="shared" si="18"/>
        <v>823966</v>
      </c>
      <c r="E124" s="322">
        <f t="shared" si="19"/>
        <v>460348</v>
      </c>
      <c r="F124" s="146">
        <f t="shared" si="20"/>
        <v>363618</v>
      </c>
      <c r="G124" s="721"/>
      <c r="H124" s="46">
        <v>1.05</v>
      </c>
    </row>
    <row r="125" spans="1:8" ht="30" x14ac:dyDescent="0.2">
      <c r="A125" s="525">
        <v>692</v>
      </c>
      <c r="B125" s="525" t="s">
        <v>281</v>
      </c>
      <c r="D125" s="322">
        <f t="shared" si="18"/>
        <v>36994.6</v>
      </c>
      <c r="E125" s="322">
        <f t="shared" si="19"/>
        <v>36358.1</v>
      </c>
      <c r="F125" s="146">
        <f t="shared" si="20"/>
        <v>636.5</v>
      </c>
      <c r="G125" s="721"/>
      <c r="H125" s="46"/>
    </row>
    <row r="126" spans="1:8" ht="45" x14ac:dyDescent="0.2">
      <c r="A126" s="525">
        <v>696</v>
      </c>
      <c r="B126" s="526" t="s">
        <v>299</v>
      </c>
      <c r="D126" s="322">
        <f t="shared" si="18"/>
        <v>279098.2</v>
      </c>
      <c r="E126" s="322">
        <f t="shared" si="19"/>
        <v>243863.2</v>
      </c>
      <c r="F126" s="146">
        <f t="shared" si="20"/>
        <v>35235</v>
      </c>
      <c r="G126" s="721"/>
      <c r="H126" s="46"/>
    </row>
    <row r="127" spans="1:8" ht="60" x14ac:dyDescent="0.2">
      <c r="A127" s="525">
        <v>697</v>
      </c>
      <c r="B127" s="525" t="s">
        <v>269</v>
      </c>
      <c r="D127" s="322">
        <f t="shared" si="18"/>
        <v>136362.4</v>
      </c>
      <c r="E127" s="322">
        <f t="shared" si="19"/>
        <v>8760.2999999999993</v>
      </c>
      <c r="F127" s="146">
        <f t="shared" si="20"/>
        <v>127602.09999999999</v>
      </c>
      <c r="G127" s="721"/>
      <c r="H127" s="46">
        <v>1.05</v>
      </c>
    </row>
    <row r="128" spans="1:8" ht="30" x14ac:dyDescent="0.2">
      <c r="A128" s="525">
        <v>698</v>
      </c>
      <c r="B128" s="525" t="s">
        <v>286</v>
      </c>
      <c r="D128" s="322">
        <f t="shared" si="18"/>
        <v>5646.3</v>
      </c>
      <c r="E128" s="322">
        <f t="shared" si="19"/>
        <v>0</v>
      </c>
      <c r="F128" s="146">
        <f t="shared" si="20"/>
        <v>5646.3</v>
      </c>
      <c r="G128" s="721"/>
      <c r="H128" s="46"/>
    </row>
    <row r="129" spans="1:8" ht="30" x14ac:dyDescent="0.2">
      <c r="A129" s="525">
        <v>699</v>
      </c>
      <c r="B129" s="526" t="s">
        <v>300</v>
      </c>
      <c r="D129" s="322">
        <f t="shared" si="18"/>
        <v>54865.7</v>
      </c>
      <c r="E129" s="322">
        <f t="shared" si="19"/>
        <v>33351.5</v>
      </c>
      <c r="F129" s="146">
        <f t="shared" si="20"/>
        <v>21514.199999999997</v>
      </c>
      <c r="G129" s="721"/>
      <c r="H129" s="46"/>
    </row>
    <row r="130" spans="1:8" ht="45" x14ac:dyDescent="0.2">
      <c r="A130" s="525">
        <v>700</v>
      </c>
      <c r="B130" s="525" t="s">
        <v>270</v>
      </c>
      <c r="D130" s="322">
        <f t="shared" si="18"/>
        <v>22694.7</v>
      </c>
      <c r="E130" s="322">
        <f t="shared" si="19"/>
        <v>2.7</v>
      </c>
      <c r="F130" s="146">
        <f t="shared" si="20"/>
        <v>22692</v>
      </c>
      <c r="G130" s="721"/>
      <c r="H130" s="46"/>
    </row>
    <row r="131" spans="1:8" ht="45" x14ac:dyDescent="0.2">
      <c r="A131" s="525">
        <v>701</v>
      </c>
      <c r="B131" s="525" t="s">
        <v>274</v>
      </c>
      <c r="D131" s="322">
        <f t="shared" si="18"/>
        <v>2650.9</v>
      </c>
      <c r="E131" s="322">
        <f t="shared" si="19"/>
        <v>0</v>
      </c>
      <c r="F131" s="146">
        <f t="shared" si="20"/>
        <v>2650.9</v>
      </c>
      <c r="G131" s="721"/>
      <c r="H131" s="46"/>
    </row>
    <row r="132" spans="1:8" ht="30" x14ac:dyDescent="0.2">
      <c r="A132" s="525">
        <v>702</v>
      </c>
      <c r="B132" s="526" t="s">
        <v>301</v>
      </c>
      <c r="D132" s="322">
        <f t="shared" si="18"/>
        <v>5794</v>
      </c>
      <c r="E132" s="322">
        <f t="shared" si="19"/>
        <v>0</v>
      </c>
      <c r="F132" s="146">
        <f t="shared" si="20"/>
        <v>5794</v>
      </c>
      <c r="G132" s="721"/>
      <c r="H132" s="46"/>
    </row>
    <row r="133" spans="1:8" ht="15" x14ac:dyDescent="0.2">
      <c r="A133" s="525">
        <v>705</v>
      </c>
      <c r="B133" s="525" t="s">
        <v>275</v>
      </c>
      <c r="D133" s="322">
        <f t="shared" si="18"/>
        <v>137577.4</v>
      </c>
      <c r="E133" s="322">
        <f t="shared" si="19"/>
        <v>48985.5</v>
      </c>
      <c r="F133" s="146">
        <f t="shared" si="20"/>
        <v>88591.9</v>
      </c>
      <c r="G133" s="721"/>
      <c r="H133" s="46">
        <v>1.05</v>
      </c>
    </row>
    <row r="134" spans="1:8" ht="60" x14ac:dyDescent="0.2">
      <c r="A134" s="525">
        <v>820</v>
      </c>
      <c r="B134" s="525" t="s">
        <v>276</v>
      </c>
      <c r="D134" s="322">
        <f t="shared" si="18"/>
        <v>4455</v>
      </c>
      <c r="E134" s="322">
        <f t="shared" si="19"/>
        <v>188.4</v>
      </c>
      <c r="F134" s="146">
        <f t="shared" si="20"/>
        <v>4266.6000000000004</v>
      </c>
      <c r="G134" s="721"/>
      <c r="H134" s="46"/>
    </row>
    <row r="135" spans="1:8" ht="60" x14ac:dyDescent="0.2">
      <c r="A135" s="525">
        <v>830</v>
      </c>
      <c r="B135" s="525" t="s">
        <v>277</v>
      </c>
      <c r="D135" s="322">
        <f t="shared" si="18"/>
        <v>4665.6000000000004</v>
      </c>
      <c r="E135" s="322">
        <f t="shared" si="19"/>
        <v>188.4</v>
      </c>
      <c r="F135" s="146">
        <f t="shared" si="20"/>
        <v>4477.2000000000007</v>
      </c>
      <c r="G135" s="721"/>
      <c r="H135" s="46"/>
    </row>
    <row r="136" spans="1:8" ht="60" x14ac:dyDescent="0.2">
      <c r="A136" s="525">
        <v>840</v>
      </c>
      <c r="B136" s="525" t="s">
        <v>278</v>
      </c>
      <c r="D136" s="322">
        <f t="shared" si="18"/>
        <v>6455.8</v>
      </c>
      <c r="E136" s="322">
        <f t="shared" si="19"/>
        <v>1244.5999999999999</v>
      </c>
      <c r="F136" s="146">
        <f t="shared" si="20"/>
        <v>5211.2000000000007</v>
      </c>
      <c r="G136" s="721"/>
      <c r="H136" s="46"/>
    </row>
    <row r="137" spans="1:8" ht="60" x14ac:dyDescent="0.2">
      <c r="A137" s="525">
        <v>850</v>
      </c>
      <c r="B137" s="525" t="s">
        <v>279</v>
      </c>
      <c r="D137" s="322">
        <f t="shared" si="18"/>
        <v>4474.8</v>
      </c>
      <c r="E137" s="322">
        <f t="shared" si="19"/>
        <v>188.4</v>
      </c>
      <c r="F137" s="146">
        <f t="shared" si="20"/>
        <v>4286.4000000000005</v>
      </c>
      <c r="G137" s="721"/>
      <c r="H137" s="46"/>
    </row>
    <row r="138" spans="1:8" ht="60" x14ac:dyDescent="0.2">
      <c r="A138" s="525">
        <v>860</v>
      </c>
      <c r="B138" s="525" t="s">
        <v>280</v>
      </c>
      <c r="D138" s="322">
        <f t="shared" si="18"/>
        <v>15345.8</v>
      </c>
      <c r="E138" s="322">
        <f t="shared" si="19"/>
        <v>188.4</v>
      </c>
      <c r="F138" s="146">
        <f t="shared" si="20"/>
        <v>15157.4</v>
      </c>
      <c r="G138" s="721"/>
      <c r="H138" s="46"/>
    </row>
    <row r="139" spans="1:8" ht="60" x14ac:dyDescent="0.2">
      <c r="A139" s="525">
        <v>870</v>
      </c>
      <c r="B139" s="525" t="s">
        <v>272</v>
      </c>
      <c r="D139" s="322">
        <f t="shared" si="18"/>
        <v>7007.7</v>
      </c>
      <c r="E139" s="322">
        <f t="shared" si="19"/>
        <v>188.4</v>
      </c>
      <c r="F139" s="146">
        <f t="shared" si="20"/>
        <v>6819.3</v>
      </c>
      <c r="G139" s="721"/>
      <c r="H139" s="46"/>
    </row>
    <row r="140" spans="1:8" ht="60" x14ac:dyDescent="0.2">
      <c r="A140" s="525">
        <v>880</v>
      </c>
      <c r="B140" s="525" t="s">
        <v>273</v>
      </c>
      <c r="D140" s="322">
        <f t="shared" si="18"/>
        <v>17422.900000000001</v>
      </c>
      <c r="E140" s="322">
        <f t="shared" si="19"/>
        <v>11742.4</v>
      </c>
      <c r="F140" s="146">
        <f t="shared" si="20"/>
        <v>5680.5000000000018</v>
      </c>
      <c r="G140" s="722"/>
      <c r="H140" s="46"/>
    </row>
    <row r="141" spans="1:8" x14ac:dyDescent="0.2">
      <c r="A141" s="150"/>
      <c r="B141" s="151" t="s">
        <v>27</v>
      </c>
      <c r="D141" s="188">
        <f>SUM(D111:D140)</f>
        <v>2641441.7999999998</v>
      </c>
      <c r="E141" s="135">
        <f>SUM(E111:E140)</f>
        <v>1391575.3999999994</v>
      </c>
      <c r="F141" s="189">
        <f>D141-E141</f>
        <v>1249866.4000000004</v>
      </c>
      <c r="G141" s="190">
        <f>F141/30</f>
        <v>41662.213333333348</v>
      </c>
      <c r="H141" s="128"/>
    </row>
  </sheetData>
  <customSheetViews>
    <customSheetView guid="{EB9C9A86-B58A-443D-8E32-0F9B9A284E4A}" scale="80" showPageBreaks="1" hiddenColumns="1" view="pageBreakPreview" topLeftCell="A42">
      <selection activeCell="E50" sqref="E50"/>
      <rowBreaks count="1" manualBreakCount="1">
        <brk id="37" max="16383" man="1"/>
      </rowBreaks>
      <pageMargins left="0.15748031496062992" right="0.15748031496062992" top="0.27559055118110237" bottom="0.27559055118110237" header="0" footer="0"/>
      <pageSetup paperSize="9" scale="63" fitToHeight="2" orientation="landscape" r:id="rId1"/>
      <headerFooter alignWithMargins="0"/>
    </customSheetView>
  </customSheetViews>
  <mergeCells count="137">
    <mergeCell ref="A108:A110"/>
    <mergeCell ref="B108:B110"/>
    <mergeCell ref="D108:F108"/>
    <mergeCell ref="D109:D110"/>
    <mergeCell ref="E109:E110"/>
    <mergeCell ref="F109:F110"/>
    <mergeCell ref="H18:I18"/>
    <mergeCell ref="H19:I19"/>
    <mergeCell ref="J25:K25"/>
    <mergeCell ref="J26:K26"/>
    <mergeCell ref="J48:K48"/>
    <mergeCell ref="J47:K47"/>
    <mergeCell ref="J18:K18"/>
    <mergeCell ref="J19:K19"/>
    <mergeCell ref="A54:D54"/>
    <mergeCell ref="H36:I36"/>
    <mergeCell ref="H37:I37"/>
    <mergeCell ref="H38:I38"/>
    <mergeCell ref="H39:I39"/>
    <mergeCell ref="H40:I40"/>
    <mergeCell ref="H41:I41"/>
    <mergeCell ref="A69:A70"/>
    <mergeCell ref="B69:B70"/>
    <mergeCell ref="C69:D70"/>
    <mergeCell ref="H109:H110"/>
    <mergeCell ref="H17:I17"/>
    <mergeCell ref="H20:I20"/>
    <mergeCell ref="H21:I21"/>
    <mergeCell ref="H23:I23"/>
    <mergeCell ref="H24:I24"/>
    <mergeCell ref="H25:I25"/>
    <mergeCell ref="H26:I26"/>
    <mergeCell ref="H48:I48"/>
    <mergeCell ref="H47:I47"/>
    <mergeCell ref="H27:I27"/>
    <mergeCell ref="H33:I33"/>
    <mergeCell ref="H42:I42"/>
    <mergeCell ref="H43:I43"/>
    <mergeCell ref="H44:I44"/>
    <mergeCell ref="H45:I45"/>
    <mergeCell ref="H46:I46"/>
    <mergeCell ref="I109:I110"/>
    <mergeCell ref="F85:G85"/>
    <mergeCell ref="F86:G86"/>
    <mergeCell ref="F87:G87"/>
    <mergeCell ref="F69:G70"/>
    <mergeCell ref="H69:I69"/>
    <mergeCell ref="G109:G140"/>
    <mergeCell ref="E15:E16"/>
    <mergeCell ref="F15:F16"/>
    <mergeCell ref="J14:K16"/>
    <mergeCell ref="G14:G16"/>
    <mergeCell ref="H14:I16"/>
    <mergeCell ref="J24:K24"/>
    <mergeCell ref="F91:G91"/>
    <mergeCell ref="F92:G92"/>
    <mergeCell ref="H28:I28"/>
    <mergeCell ref="H29:I29"/>
    <mergeCell ref="H30:I30"/>
    <mergeCell ref="H31:I31"/>
    <mergeCell ref="H32:I32"/>
    <mergeCell ref="H34:I34"/>
    <mergeCell ref="H35:I35"/>
    <mergeCell ref="F89:G89"/>
    <mergeCell ref="F90:G90"/>
    <mergeCell ref="E69:E70"/>
    <mergeCell ref="J44:K44"/>
    <mergeCell ref="J45:K45"/>
    <mergeCell ref="J46:K46"/>
    <mergeCell ref="A8:U8"/>
    <mergeCell ref="A11:U11"/>
    <mergeCell ref="A9:U9"/>
    <mergeCell ref="J23:K23"/>
    <mergeCell ref="L15:L16"/>
    <mergeCell ref="L14:M14"/>
    <mergeCell ref="M15:M16"/>
    <mergeCell ref="P15:R15"/>
    <mergeCell ref="N15:O15"/>
    <mergeCell ref="N14:U14"/>
    <mergeCell ref="S15:U15"/>
    <mergeCell ref="A14:A16"/>
    <mergeCell ref="B14:B16"/>
    <mergeCell ref="C14:D16"/>
    <mergeCell ref="E14:F14"/>
    <mergeCell ref="J17:K17"/>
    <mergeCell ref="J20:K20"/>
    <mergeCell ref="J21:K21"/>
    <mergeCell ref="H22:I22"/>
    <mergeCell ref="J22:K22"/>
    <mergeCell ref="F96:G96"/>
    <mergeCell ref="F97:G97"/>
    <mergeCell ref="F88:G88"/>
    <mergeCell ref="T69:V69"/>
    <mergeCell ref="W69:Z69"/>
    <mergeCell ref="M69:S69"/>
    <mergeCell ref="J27:K27"/>
    <mergeCell ref="J69:L69"/>
    <mergeCell ref="J35:K35"/>
    <mergeCell ref="J36:K36"/>
    <mergeCell ref="J37:K37"/>
    <mergeCell ref="J38:K38"/>
    <mergeCell ref="J39:K39"/>
    <mergeCell ref="J40:K40"/>
    <mergeCell ref="J41:K41"/>
    <mergeCell ref="J42:K42"/>
    <mergeCell ref="J28:K28"/>
    <mergeCell ref="J29:K29"/>
    <mergeCell ref="J30:K30"/>
    <mergeCell ref="J31:K31"/>
    <mergeCell ref="J32:K32"/>
    <mergeCell ref="J33:K33"/>
    <mergeCell ref="J34:K34"/>
    <mergeCell ref="J43:K43"/>
    <mergeCell ref="AA102:AB102"/>
    <mergeCell ref="F75:G75"/>
    <mergeCell ref="P2:U2"/>
    <mergeCell ref="AA69:AC69"/>
    <mergeCell ref="F79:G79"/>
    <mergeCell ref="F101:G101"/>
    <mergeCell ref="F80:G80"/>
    <mergeCell ref="F73:G73"/>
    <mergeCell ref="F74:G74"/>
    <mergeCell ref="F76:G76"/>
    <mergeCell ref="F77:G77"/>
    <mergeCell ref="F78:G78"/>
    <mergeCell ref="F71:G71"/>
    <mergeCell ref="F72:G72"/>
    <mergeCell ref="F100:G100"/>
    <mergeCell ref="F81:G81"/>
    <mergeCell ref="F82:G82"/>
    <mergeCell ref="F83:G83"/>
    <mergeCell ref="F84:G84"/>
    <mergeCell ref="F98:G98"/>
    <mergeCell ref="F99:G99"/>
    <mergeCell ref="F93:G93"/>
    <mergeCell ref="F94:G94"/>
    <mergeCell ref="F95:G95"/>
  </mergeCells>
  <phoneticPr fontId="4" type="noConversion"/>
  <pageMargins left="0.19685039370078741" right="0" top="7.874015748031496E-2" bottom="7.874015748031496E-2" header="0" footer="0"/>
  <pageSetup paperSize="9" scale="39" fitToHeight="0" orientation="landscape" r:id="rId2"/>
  <headerFooter alignWithMargins="0"/>
  <rowBreaks count="1" manualBreakCount="1">
    <brk id="6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31"/>
  <sheetViews>
    <sheetView topLeftCell="B7" workbookViewId="0">
      <selection activeCell="C18" sqref="C18:D21"/>
    </sheetView>
  </sheetViews>
  <sheetFormatPr defaultColWidth="8.85546875" defaultRowHeight="12.75" x14ac:dyDescent="0.2"/>
  <cols>
    <col min="1" max="1" width="15" style="2" customWidth="1"/>
    <col min="2" max="2" width="33" style="2" customWidth="1"/>
    <col min="3" max="3" width="17" style="2" customWidth="1"/>
    <col min="4" max="4" width="24.85546875" style="2" customWidth="1"/>
    <col min="5" max="16384" width="8.85546875" style="2"/>
  </cols>
  <sheetData>
    <row r="2" spans="1:4" ht="15" x14ac:dyDescent="0.25">
      <c r="A2" s="761" t="s">
        <v>155</v>
      </c>
      <c r="B2" s="761"/>
      <c r="C2" s="761"/>
      <c r="D2" s="761"/>
    </row>
    <row r="3" spans="1:4" ht="105.75" customHeight="1" x14ac:dyDescent="0.25">
      <c r="A3" s="242"/>
      <c r="B3" s="242"/>
      <c r="C3" s="672" t="s">
        <v>443</v>
      </c>
      <c r="D3" s="762"/>
    </row>
    <row r="4" spans="1:4" ht="15" x14ac:dyDescent="0.25">
      <c r="A4" s="761"/>
      <c r="B4" s="761"/>
      <c r="C4" s="761"/>
      <c r="D4" s="761"/>
    </row>
    <row r="5" spans="1:4" ht="15" x14ac:dyDescent="0.25">
      <c r="A5" s="761"/>
      <c r="B5" s="761"/>
      <c r="C5" s="761"/>
      <c r="D5" s="761"/>
    </row>
    <row r="6" spans="1:4" ht="15" x14ac:dyDescent="0.25">
      <c r="A6" s="761"/>
      <c r="B6" s="761"/>
      <c r="C6" s="761"/>
      <c r="D6" s="761"/>
    </row>
    <row r="7" spans="1:4" ht="15" x14ac:dyDescent="0.25">
      <c r="A7" s="54"/>
    </row>
    <row r="8" spans="1:4" ht="15" x14ac:dyDescent="0.25">
      <c r="A8" s="54"/>
    </row>
    <row r="9" spans="1:4" ht="15.75" x14ac:dyDescent="0.2">
      <c r="A9" s="760" t="s">
        <v>35</v>
      </c>
      <c r="B9" s="760"/>
      <c r="C9" s="760"/>
      <c r="D9" s="760"/>
    </row>
    <row r="10" spans="1:4" ht="36" customHeight="1" x14ac:dyDescent="0.2">
      <c r="A10" s="688" t="s">
        <v>156</v>
      </c>
      <c r="B10" s="688"/>
      <c r="C10" s="688"/>
      <c r="D10" s="688"/>
    </row>
    <row r="11" spans="1:4" ht="15" x14ac:dyDescent="0.25">
      <c r="A11" s="53"/>
    </row>
    <row r="12" spans="1:4" ht="15" x14ac:dyDescent="0.25">
      <c r="A12" s="759" t="s">
        <v>439</v>
      </c>
      <c r="B12" s="759"/>
      <c r="C12" s="759"/>
      <c r="D12" s="759"/>
    </row>
    <row r="13" spans="1:4" ht="15" x14ac:dyDescent="0.25">
      <c r="A13" s="52"/>
    </row>
    <row r="14" spans="1:4" ht="15" x14ac:dyDescent="0.25">
      <c r="A14" s="52" t="s">
        <v>436</v>
      </c>
    </row>
    <row r="15" spans="1:4" ht="15.75" thickBot="1" x14ac:dyDescent="0.3">
      <c r="A15" s="52"/>
      <c r="D15" s="82" t="s">
        <v>26</v>
      </c>
    </row>
    <row r="16" spans="1:4" ht="56.45" customHeight="1" thickBot="1" x14ac:dyDescent="0.25">
      <c r="A16" s="83" t="s">
        <v>158</v>
      </c>
      <c r="B16" s="409" t="s">
        <v>157</v>
      </c>
      <c r="C16" s="757" t="s">
        <v>175</v>
      </c>
      <c r="D16" s="758"/>
    </row>
    <row r="17" spans="1:5" ht="13.5" thickBot="1" x14ac:dyDescent="0.25">
      <c r="A17" s="84">
        <v>1</v>
      </c>
      <c r="B17" s="85">
        <v>2</v>
      </c>
      <c r="C17" s="752">
        <v>3</v>
      </c>
      <c r="D17" s="753"/>
    </row>
    <row r="18" spans="1:5" ht="19.5" customHeight="1" thickBot="1" x14ac:dyDescent="0.25">
      <c r="A18" s="249">
        <v>1</v>
      </c>
      <c r="B18" s="247" t="s">
        <v>319</v>
      </c>
      <c r="C18" s="754">
        <v>79617.600000000006</v>
      </c>
      <c r="D18" s="755"/>
    </row>
    <row r="19" spans="1:5" ht="30.75" customHeight="1" thickBot="1" x14ac:dyDescent="0.25">
      <c r="A19" s="249">
        <v>2</v>
      </c>
      <c r="B19" s="248" t="s">
        <v>299</v>
      </c>
      <c r="C19" s="756">
        <v>57273.3</v>
      </c>
      <c r="D19" s="755"/>
    </row>
    <row r="20" spans="1:5" ht="16.5" thickBot="1" x14ac:dyDescent="0.25">
      <c r="A20" s="86"/>
      <c r="B20" s="87" t="s">
        <v>27</v>
      </c>
      <c r="C20" s="754">
        <f>SUM(C18:C19)</f>
        <v>136890.90000000002</v>
      </c>
      <c r="D20" s="755"/>
    </row>
    <row r="21" spans="1:5" ht="15" x14ac:dyDescent="0.25">
      <c r="A21" s="52"/>
    </row>
    <row r="22" spans="1:5" ht="15" x14ac:dyDescent="0.25">
      <c r="A22" s="52"/>
    </row>
    <row r="23" spans="1:5" ht="30" customHeight="1" x14ac:dyDescent="0.25">
      <c r="A23" s="750" t="s">
        <v>440</v>
      </c>
      <c r="B23" s="751"/>
      <c r="C23" s="246" t="s">
        <v>255</v>
      </c>
      <c r="D23" s="19" t="s">
        <v>310</v>
      </c>
      <c r="E23" s="14"/>
    </row>
    <row r="24" spans="1:5" x14ac:dyDescent="0.2">
      <c r="A24" s="51" t="s">
        <v>256</v>
      </c>
      <c r="D24" s="10"/>
      <c r="E24" s="10"/>
    </row>
    <row r="25" spans="1:5" ht="15" x14ac:dyDescent="0.25">
      <c r="A25" s="52"/>
      <c r="D25" s="10"/>
      <c r="E25" s="10"/>
    </row>
    <row r="26" spans="1:5" ht="15" x14ac:dyDescent="0.25">
      <c r="A26" s="52"/>
      <c r="D26" s="10"/>
      <c r="E26" s="10"/>
    </row>
    <row r="27" spans="1:5" ht="15" x14ac:dyDescent="0.25">
      <c r="A27" s="52"/>
      <c r="D27" s="10"/>
      <c r="E27" s="10"/>
    </row>
    <row r="28" spans="1:5" ht="39" x14ac:dyDescent="0.25">
      <c r="A28" s="50" t="s">
        <v>174</v>
      </c>
      <c r="B28" s="410" t="s">
        <v>441</v>
      </c>
      <c r="C28" s="75"/>
      <c r="D28" s="19" t="s">
        <v>384</v>
      </c>
      <c r="E28" s="14"/>
    </row>
    <row r="29" spans="1:5" x14ac:dyDescent="0.2">
      <c r="A29" s="195" t="s">
        <v>261</v>
      </c>
      <c r="C29" s="10"/>
      <c r="E29" s="10"/>
    </row>
    <row r="30" spans="1:5" ht="15.75" x14ac:dyDescent="0.25">
      <c r="A30" s="20"/>
    </row>
    <row r="31" spans="1:5" ht="15" x14ac:dyDescent="0.25">
      <c r="A31" s="194" t="s">
        <v>442</v>
      </c>
    </row>
  </sheetData>
  <mergeCells count="14">
    <mergeCell ref="C16:D16"/>
    <mergeCell ref="A10:D10"/>
    <mergeCell ref="A12:D12"/>
    <mergeCell ref="A9:D9"/>
    <mergeCell ref="A2:D2"/>
    <mergeCell ref="A4:D4"/>
    <mergeCell ref="A5:D5"/>
    <mergeCell ref="A6:D6"/>
    <mergeCell ref="C3:D3"/>
    <mergeCell ref="A23:B23"/>
    <mergeCell ref="C17:D17"/>
    <mergeCell ref="C18:D18"/>
    <mergeCell ref="C19:D19"/>
    <mergeCell ref="C20:D20"/>
  </mergeCells>
  <pageMargins left="0.78740157480314965" right="0.78740157480314965" top="0.78740157480314965" bottom="0.39370078740157483" header="0.31496062992125984" footer="0.31496062992125984"/>
  <pageSetup paperSize="9"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321"/>
  <sheetViews>
    <sheetView topLeftCell="A40" zoomScale="60" zoomScaleNormal="60" workbookViewId="0">
      <selection activeCell="D75" sqref="D75"/>
    </sheetView>
  </sheetViews>
  <sheetFormatPr defaultColWidth="8.85546875" defaultRowHeight="12.75" x14ac:dyDescent="0.2"/>
  <cols>
    <col min="1" max="1" width="4.42578125" style="1" customWidth="1"/>
    <col min="2" max="2" width="78.28515625" style="1" customWidth="1"/>
    <col min="3" max="3" width="19.140625" style="1" customWidth="1"/>
    <col min="4" max="4" width="51.28515625" style="1" customWidth="1"/>
    <col min="5" max="5" width="47.28515625" style="1" customWidth="1"/>
    <col min="6" max="6" width="43.5703125" style="1" customWidth="1"/>
    <col min="7" max="7" width="26.42578125" style="1" customWidth="1"/>
    <col min="8" max="8" width="41.28515625" style="1" customWidth="1"/>
    <col min="9" max="9" width="32.28515625" style="1" customWidth="1"/>
    <col min="10" max="16384" width="8.85546875" style="1"/>
  </cols>
  <sheetData>
    <row r="1" spans="1:144"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row>
    <row r="2" spans="1:144" ht="90" customHeight="1" x14ac:dyDescent="0.4">
      <c r="A2" s="2"/>
      <c r="B2" s="23"/>
      <c r="C2" s="2"/>
      <c r="D2" s="2"/>
      <c r="E2" s="766" t="s">
        <v>523</v>
      </c>
      <c r="F2" s="766"/>
      <c r="G2" s="24"/>
      <c r="H2" s="25"/>
      <c r="I2" s="25"/>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row>
    <row r="3" spans="1:144" ht="11.25" customHeight="1" x14ac:dyDescent="0.2">
      <c r="A3" s="2"/>
      <c r="B3" s="26"/>
      <c r="C3" s="768"/>
      <c r="D3" s="768"/>
      <c r="E3" s="768"/>
      <c r="F3" s="27"/>
      <c r="G3" s="27"/>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row>
    <row r="4" spans="1:144" ht="32.450000000000003" customHeight="1" x14ac:dyDescent="0.2">
      <c r="A4" s="2"/>
      <c r="B4" s="769" t="s">
        <v>17</v>
      </c>
      <c r="C4" s="769"/>
      <c r="D4" s="769"/>
      <c r="E4" s="769"/>
      <c r="F4" s="28"/>
      <c r="G4" s="28"/>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row>
    <row r="5" spans="1:144" ht="34.9" customHeight="1" x14ac:dyDescent="0.2">
      <c r="A5" s="2"/>
      <c r="B5" s="769" t="s">
        <v>151</v>
      </c>
      <c r="C5" s="769"/>
      <c r="D5" s="769"/>
      <c r="E5" s="769"/>
      <c r="F5" s="28"/>
      <c r="G5" s="28"/>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row>
    <row r="6" spans="1:144" ht="12" customHeight="1" x14ac:dyDescent="0.35">
      <c r="A6" s="2"/>
      <c r="B6" s="29"/>
      <c r="C6" s="771"/>
      <c r="D6" s="771"/>
      <c r="E6" s="771"/>
      <c r="F6" s="22"/>
      <c r="G6" s="2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row>
    <row r="7" spans="1:144" ht="30.6" customHeight="1" x14ac:dyDescent="0.2">
      <c r="A7" s="2"/>
      <c r="B7" s="772" t="s">
        <v>456</v>
      </c>
      <c r="C7" s="772"/>
      <c r="D7" s="772"/>
      <c r="E7" s="772"/>
      <c r="F7" s="30"/>
      <c r="G7" s="30"/>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row>
    <row r="8" spans="1:144" ht="29.45" customHeight="1" thickBot="1" x14ac:dyDescent="0.25">
      <c r="A8" s="2"/>
      <c r="B8" s="773" t="s">
        <v>106</v>
      </c>
      <c r="C8" s="773"/>
      <c r="D8" s="773"/>
      <c r="E8" s="773"/>
      <c r="F8" s="31"/>
      <c r="G8" s="31"/>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row>
    <row r="9" spans="1:144" ht="102" customHeight="1" thickBot="1" x14ac:dyDescent="0.25">
      <c r="A9" s="2"/>
      <c r="B9" s="763" t="s">
        <v>107</v>
      </c>
      <c r="C9" s="764"/>
      <c r="D9" s="271" t="s">
        <v>152</v>
      </c>
      <c r="E9" s="272" t="s">
        <v>153</v>
      </c>
      <c r="F9" s="273" t="s">
        <v>165</v>
      </c>
      <c r="G9" s="3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row>
    <row r="10" spans="1:144" ht="24" thickBot="1" x14ac:dyDescent="0.4">
      <c r="A10" s="2"/>
      <c r="B10" s="274" t="s">
        <v>108</v>
      </c>
      <c r="C10" s="275" t="s">
        <v>30</v>
      </c>
      <c r="D10" s="273"/>
      <c r="E10" s="276"/>
      <c r="F10" s="277"/>
      <c r="G10" s="33"/>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row>
    <row r="11" spans="1:144" ht="24" thickBot="1" x14ac:dyDescent="0.4">
      <c r="A11" s="2"/>
      <c r="B11" s="278">
        <v>1</v>
      </c>
      <c r="C11" s="279">
        <v>2</v>
      </c>
      <c r="D11" s="280">
        <v>3</v>
      </c>
      <c r="E11" s="281">
        <v>4</v>
      </c>
      <c r="F11" s="274">
        <v>5</v>
      </c>
      <c r="G11" s="34"/>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row>
    <row r="12" spans="1:144" ht="33.75" customHeight="1" thickBot="1" x14ac:dyDescent="0.4">
      <c r="A12" s="2"/>
      <c r="B12" s="282" t="s">
        <v>268</v>
      </c>
      <c r="C12" s="587">
        <v>557</v>
      </c>
      <c r="D12" s="588" t="s">
        <v>218</v>
      </c>
      <c r="E12" s="589">
        <v>14</v>
      </c>
      <c r="F12" s="590">
        <v>42</v>
      </c>
      <c r="G12" s="34"/>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row>
    <row r="13" spans="1:144" ht="30.75" customHeight="1" thickBot="1" x14ac:dyDescent="0.4">
      <c r="A13" s="2"/>
      <c r="B13" s="284" t="s">
        <v>292</v>
      </c>
      <c r="C13" s="591">
        <v>559</v>
      </c>
      <c r="D13" s="588" t="s">
        <v>166</v>
      </c>
      <c r="E13" s="589">
        <v>13</v>
      </c>
      <c r="F13" s="590">
        <v>39</v>
      </c>
      <c r="G13" s="34"/>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row>
    <row r="14" spans="1:144" ht="31.5" customHeight="1" thickBot="1" x14ac:dyDescent="0.4">
      <c r="A14" s="2"/>
      <c r="B14" s="285" t="s">
        <v>291</v>
      </c>
      <c r="C14" s="592">
        <v>560</v>
      </c>
      <c r="D14" s="588" t="s">
        <v>166</v>
      </c>
      <c r="E14" s="589">
        <v>4</v>
      </c>
      <c r="F14" s="590">
        <v>43</v>
      </c>
      <c r="G14" s="34"/>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row>
    <row r="15" spans="1:144" ht="43.5" customHeight="1" thickBot="1" x14ac:dyDescent="0.4">
      <c r="A15" s="2"/>
      <c r="B15" s="282" t="s">
        <v>271</v>
      </c>
      <c r="C15" s="591">
        <v>601</v>
      </c>
      <c r="D15" s="588" t="s">
        <v>218</v>
      </c>
      <c r="E15" s="589">
        <v>6</v>
      </c>
      <c r="F15" s="590">
        <v>49</v>
      </c>
      <c r="G15" s="34"/>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row>
    <row r="16" spans="1:144" ht="42" customHeight="1" thickBot="1" x14ac:dyDescent="0.4">
      <c r="A16" s="2"/>
      <c r="B16" s="284" t="s">
        <v>320</v>
      </c>
      <c r="C16" s="591">
        <v>602</v>
      </c>
      <c r="D16" s="588" t="s">
        <v>396</v>
      </c>
      <c r="E16" s="588" t="s">
        <v>396</v>
      </c>
      <c r="F16" s="588" t="s">
        <v>396</v>
      </c>
      <c r="G16" s="34"/>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row>
    <row r="17" spans="1:144" ht="34.5" customHeight="1" thickBot="1" x14ac:dyDescent="0.4">
      <c r="A17" s="2"/>
      <c r="B17" s="287" t="s">
        <v>293</v>
      </c>
      <c r="C17" s="592">
        <v>603</v>
      </c>
      <c r="D17" s="588" t="s">
        <v>396</v>
      </c>
      <c r="E17" s="588" t="s">
        <v>396</v>
      </c>
      <c r="F17" s="588" t="s">
        <v>396</v>
      </c>
      <c r="G17" s="34"/>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row>
    <row r="18" spans="1:144" ht="36" customHeight="1" thickBot="1" x14ac:dyDescent="0.4">
      <c r="A18" s="2"/>
      <c r="B18" s="286" t="s">
        <v>294</v>
      </c>
      <c r="C18" s="591">
        <v>604</v>
      </c>
      <c r="D18" s="588" t="s">
        <v>396</v>
      </c>
      <c r="E18" s="588" t="s">
        <v>396</v>
      </c>
      <c r="F18" s="588" t="s">
        <v>396</v>
      </c>
      <c r="G18" s="34"/>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row>
    <row r="19" spans="1:144" ht="39.75" customHeight="1" thickBot="1" x14ac:dyDescent="0.4">
      <c r="A19" s="2"/>
      <c r="B19" s="287" t="s">
        <v>295</v>
      </c>
      <c r="C19" s="592">
        <v>605</v>
      </c>
      <c r="D19" s="588" t="s">
        <v>396</v>
      </c>
      <c r="E19" s="588" t="s">
        <v>396</v>
      </c>
      <c r="F19" s="588" t="s">
        <v>396</v>
      </c>
      <c r="G19" s="34"/>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row>
    <row r="20" spans="1:144" ht="38.25" customHeight="1" thickBot="1" x14ac:dyDescent="0.4">
      <c r="A20" s="2"/>
      <c r="B20" s="287" t="s">
        <v>290</v>
      </c>
      <c r="C20" s="591">
        <v>606</v>
      </c>
      <c r="D20" s="588" t="s">
        <v>396</v>
      </c>
      <c r="E20" s="588" t="s">
        <v>396</v>
      </c>
      <c r="F20" s="588" t="s">
        <v>396</v>
      </c>
      <c r="G20" s="34"/>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row>
    <row r="21" spans="1:144" ht="36" customHeight="1" thickBot="1" x14ac:dyDescent="0.4">
      <c r="A21" s="2"/>
      <c r="B21" s="286" t="s">
        <v>296</v>
      </c>
      <c r="C21" s="592">
        <v>608</v>
      </c>
      <c r="D21" s="588" t="s">
        <v>396</v>
      </c>
      <c r="E21" s="588" t="s">
        <v>396</v>
      </c>
      <c r="F21" s="588" t="s">
        <v>396</v>
      </c>
      <c r="G21" s="34"/>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row>
    <row r="22" spans="1:144" ht="30.75" customHeight="1" thickBot="1" x14ac:dyDescent="0.4">
      <c r="A22" s="2"/>
      <c r="B22" s="282" t="s">
        <v>282</v>
      </c>
      <c r="C22" s="591">
        <v>685</v>
      </c>
      <c r="D22" s="588" t="s">
        <v>218</v>
      </c>
      <c r="E22" s="589">
        <v>6</v>
      </c>
      <c r="F22" s="590">
        <v>32</v>
      </c>
      <c r="G22" s="34"/>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row>
    <row r="23" spans="1:144" ht="39.75" customHeight="1" thickBot="1" x14ac:dyDescent="0.4">
      <c r="A23" s="2"/>
      <c r="B23" s="288" t="s">
        <v>297</v>
      </c>
      <c r="C23" s="592">
        <v>686</v>
      </c>
      <c r="D23" s="588" t="s">
        <v>218</v>
      </c>
      <c r="E23" s="589">
        <v>9</v>
      </c>
      <c r="F23" s="590">
        <v>50</v>
      </c>
      <c r="G23" s="34"/>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row>
    <row r="24" spans="1:144" ht="39.75" customHeight="1" thickBot="1" x14ac:dyDescent="0.4">
      <c r="A24" s="2"/>
      <c r="B24" s="282" t="s">
        <v>283</v>
      </c>
      <c r="C24" s="591">
        <v>688</v>
      </c>
      <c r="D24" s="588" t="s">
        <v>166</v>
      </c>
      <c r="E24" s="589">
        <v>3</v>
      </c>
      <c r="F24" s="590">
        <v>33</v>
      </c>
      <c r="G24" s="34"/>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row>
    <row r="25" spans="1:144" ht="42" customHeight="1" thickBot="1" x14ac:dyDescent="0.4">
      <c r="A25" s="2"/>
      <c r="B25" s="286" t="s">
        <v>298</v>
      </c>
      <c r="C25" s="592">
        <v>691</v>
      </c>
      <c r="D25" s="588" t="s">
        <v>400</v>
      </c>
      <c r="E25" s="589">
        <v>13</v>
      </c>
      <c r="F25" s="590">
        <v>73</v>
      </c>
      <c r="G25" s="34"/>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row>
    <row r="26" spans="1:144" ht="39.75" customHeight="1" thickBot="1" x14ac:dyDescent="0.4">
      <c r="A26" s="2"/>
      <c r="B26" s="282" t="s">
        <v>281</v>
      </c>
      <c r="C26" s="591">
        <v>692</v>
      </c>
      <c r="D26" s="588" t="s">
        <v>166</v>
      </c>
      <c r="E26" s="589">
        <v>4</v>
      </c>
      <c r="F26" s="590">
        <v>36</v>
      </c>
      <c r="G26" s="34"/>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row>
    <row r="27" spans="1:144" ht="31.5" customHeight="1" thickBot="1" x14ac:dyDescent="0.4">
      <c r="A27" s="2"/>
      <c r="B27" s="284" t="s">
        <v>299</v>
      </c>
      <c r="C27" s="592">
        <v>696</v>
      </c>
      <c r="D27" s="588" t="s">
        <v>399</v>
      </c>
      <c r="E27" s="589">
        <v>11</v>
      </c>
      <c r="F27" s="590">
        <v>90</v>
      </c>
      <c r="G27" s="34"/>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row>
    <row r="28" spans="1:144" ht="36.75" customHeight="1" thickBot="1" x14ac:dyDescent="0.4">
      <c r="A28" s="2"/>
      <c r="B28" s="282" t="s">
        <v>269</v>
      </c>
      <c r="C28" s="591">
        <v>697</v>
      </c>
      <c r="D28" s="588" t="s">
        <v>218</v>
      </c>
      <c r="E28" s="589">
        <v>15</v>
      </c>
      <c r="F28" s="590">
        <v>45</v>
      </c>
      <c r="G28" s="34"/>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row>
    <row r="29" spans="1:144" ht="39.75" customHeight="1" thickBot="1" x14ac:dyDescent="0.4">
      <c r="A29" s="2"/>
      <c r="B29" s="286" t="s">
        <v>286</v>
      </c>
      <c r="C29" s="592">
        <v>698</v>
      </c>
      <c r="D29" s="588" t="s">
        <v>166</v>
      </c>
      <c r="E29" s="589">
        <v>3</v>
      </c>
      <c r="F29" s="590">
        <v>32</v>
      </c>
      <c r="G29" s="34"/>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row>
    <row r="30" spans="1:144" ht="39.75" customHeight="1" thickBot="1" x14ac:dyDescent="0.4">
      <c r="A30" s="2"/>
      <c r="B30" s="285" t="s">
        <v>300</v>
      </c>
      <c r="C30" s="591">
        <v>699</v>
      </c>
      <c r="D30" s="588" t="s">
        <v>166</v>
      </c>
      <c r="E30" s="589">
        <v>3</v>
      </c>
      <c r="F30" s="590">
        <v>46</v>
      </c>
      <c r="G30" s="34"/>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row>
    <row r="31" spans="1:144" ht="34.5" customHeight="1" thickBot="1" x14ac:dyDescent="0.4">
      <c r="A31" s="2"/>
      <c r="B31" s="286" t="s">
        <v>270</v>
      </c>
      <c r="C31" s="592">
        <v>700</v>
      </c>
      <c r="D31" s="588" t="s">
        <v>218</v>
      </c>
      <c r="E31" s="589">
        <v>27</v>
      </c>
      <c r="F31" s="590">
        <v>49</v>
      </c>
      <c r="G31" s="34"/>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row>
    <row r="32" spans="1:144" ht="43.5" customHeight="1" thickBot="1" x14ac:dyDescent="0.4">
      <c r="A32" s="2"/>
      <c r="B32" s="282" t="s">
        <v>274</v>
      </c>
      <c r="C32" s="591">
        <v>701</v>
      </c>
      <c r="D32" s="588" t="s">
        <v>396</v>
      </c>
      <c r="E32" s="591" t="s">
        <v>396</v>
      </c>
      <c r="F32" s="591" t="s">
        <v>396</v>
      </c>
      <c r="G32" s="34"/>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row>
    <row r="33" spans="1:144" ht="43.5" customHeight="1" thickBot="1" x14ac:dyDescent="0.25">
      <c r="A33" s="2"/>
      <c r="B33" s="284" t="s">
        <v>301</v>
      </c>
      <c r="C33" s="592">
        <v>702</v>
      </c>
      <c r="D33" s="588" t="s">
        <v>396</v>
      </c>
      <c r="E33" s="323" t="s">
        <v>396</v>
      </c>
      <c r="F33" s="323" t="s">
        <v>396</v>
      </c>
      <c r="G33" s="35"/>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row>
    <row r="34" spans="1:144" ht="37.5" customHeight="1" thickBot="1" x14ac:dyDescent="0.25">
      <c r="A34" s="2"/>
      <c r="B34" s="282" t="s">
        <v>275</v>
      </c>
      <c r="C34" s="591">
        <v>705</v>
      </c>
      <c r="D34" s="588" t="s">
        <v>396</v>
      </c>
      <c r="E34" s="323" t="s">
        <v>396</v>
      </c>
      <c r="F34" s="323" t="s">
        <v>396</v>
      </c>
      <c r="G34" s="35"/>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row>
    <row r="35" spans="1:144" ht="48" customHeight="1" thickBot="1" x14ac:dyDescent="0.25">
      <c r="A35" s="2"/>
      <c r="B35" s="286" t="s">
        <v>276</v>
      </c>
      <c r="C35" s="592">
        <v>820</v>
      </c>
      <c r="D35" s="588" t="s">
        <v>166</v>
      </c>
      <c r="E35" s="593">
        <v>6</v>
      </c>
      <c r="F35" s="594">
        <v>43</v>
      </c>
      <c r="G35" s="35"/>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row>
    <row r="36" spans="1:144" ht="51.75" customHeight="1" thickBot="1" x14ac:dyDescent="0.25">
      <c r="A36" s="2"/>
      <c r="B36" s="282" t="s">
        <v>277</v>
      </c>
      <c r="C36" s="591">
        <v>830</v>
      </c>
      <c r="D36" s="588" t="s">
        <v>166</v>
      </c>
      <c r="E36" s="593">
        <v>6</v>
      </c>
      <c r="F36" s="594">
        <v>43</v>
      </c>
      <c r="G36" s="35"/>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row>
    <row r="37" spans="1:144" ht="48" customHeight="1" thickBot="1" x14ac:dyDescent="0.25">
      <c r="A37" s="2"/>
      <c r="B37" s="286" t="s">
        <v>278</v>
      </c>
      <c r="C37" s="592">
        <v>840</v>
      </c>
      <c r="D37" s="588" t="s">
        <v>218</v>
      </c>
      <c r="E37" s="593">
        <v>7</v>
      </c>
      <c r="F37" s="594">
        <v>44</v>
      </c>
      <c r="G37" s="35"/>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row>
    <row r="38" spans="1:144" ht="45.75" customHeight="1" thickBot="1" x14ac:dyDescent="0.25">
      <c r="A38" s="2"/>
      <c r="B38" s="282" t="s">
        <v>279</v>
      </c>
      <c r="C38" s="591">
        <v>850</v>
      </c>
      <c r="D38" s="588" t="s">
        <v>218</v>
      </c>
      <c r="E38" s="593">
        <v>11</v>
      </c>
      <c r="F38" s="594">
        <v>46</v>
      </c>
      <c r="G38" s="35"/>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row>
    <row r="39" spans="1:144" ht="47.25" customHeight="1" thickBot="1" x14ac:dyDescent="0.25">
      <c r="A39" s="2"/>
      <c r="B39" s="286" t="s">
        <v>280</v>
      </c>
      <c r="C39" s="592">
        <v>860</v>
      </c>
      <c r="D39" s="588" t="s">
        <v>218</v>
      </c>
      <c r="E39" s="593">
        <v>9</v>
      </c>
      <c r="F39" s="594">
        <v>46</v>
      </c>
      <c r="G39" s="35"/>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row>
    <row r="40" spans="1:144" ht="48.75" customHeight="1" thickBot="1" x14ac:dyDescent="0.25">
      <c r="A40" s="2"/>
      <c r="B40" s="282" t="s">
        <v>272</v>
      </c>
      <c r="C40" s="591">
        <v>870</v>
      </c>
      <c r="D40" s="588" t="s">
        <v>166</v>
      </c>
      <c r="E40" s="593">
        <v>10</v>
      </c>
      <c r="F40" s="594">
        <v>44</v>
      </c>
      <c r="G40" s="35"/>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row>
    <row r="41" spans="1:144" ht="54.75" customHeight="1" thickBot="1" x14ac:dyDescent="0.25">
      <c r="A41" s="2"/>
      <c r="B41" s="282" t="s">
        <v>273</v>
      </c>
      <c r="C41" s="323">
        <v>880</v>
      </c>
      <c r="D41" s="588" t="s">
        <v>218</v>
      </c>
      <c r="E41" s="593">
        <v>10</v>
      </c>
      <c r="F41" s="594">
        <v>43</v>
      </c>
      <c r="G41" s="35"/>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row>
    <row r="42" spans="1:144" ht="23.25" x14ac:dyDescent="0.35">
      <c r="A42" s="2"/>
      <c r="B42" s="316" t="s">
        <v>394</v>
      </c>
      <c r="C42" s="765"/>
      <c r="D42" s="765"/>
      <c r="E42" s="765"/>
      <c r="F42" s="37"/>
      <c r="G42" s="37"/>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row>
    <row r="43" spans="1:144" ht="14.25" customHeight="1" x14ac:dyDescent="0.2">
      <c r="A43" s="2"/>
      <c r="B43" s="770"/>
      <c r="C43" s="770"/>
      <c r="D43" s="770"/>
      <c r="E43" s="770"/>
      <c r="F43" s="36"/>
      <c r="G43" s="36"/>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row>
    <row r="44" spans="1:144" ht="27" customHeight="1" x14ac:dyDescent="0.2">
      <c r="A44" s="2"/>
      <c r="B44" s="770" t="s">
        <v>434</v>
      </c>
      <c r="C44" s="770"/>
      <c r="D44" s="770"/>
      <c r="E44" s="770"/>
      <c r="F44" s="36"/>
      <c r="G44" s="36"/>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row>
    <row r="45" spans="1:144" ht="31.9" customHeight="1" x14ac:dyDescent="0.2">
      <c r="A45" s="2"/>
      <c r="B45" s="770" t="s">
        <v>379</v>
      </c>
      <c r="C45" s="770"/>
      <c r="D45" s="770"/>
      <c r="E45" s="770"/>
      <c r="F45" s="36"/>
      <c r="G45" s="36"/>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row>
    <row r="46" spans="1:144" ht="25.5" customHeight="1" x14ac:dyDescent="0.2">
      <c r="A46" s="2"/>
      <c r="B46" s="770" t="s">
        <v>195</v>
      </c>
      <c r="C46" s="770"/>
      <c r="D46" s="770"/>
      <c r="E46" s="770"/>
      <c r="F46" s="36"/>
      <c r="G46" s="36"/>
      <c r="H46" s="2"/>
      <c r="I46" s="38"/>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row>
    <row r="47" spans="1:144" ht="14.25" customHeight="1" x14ac:dyDescent="0.2">
      <c r="A47" s="2"/>
      <c r="B47" s="290" t="s">
        <v>194</v>
      </c>
      <c r="C47" s="290"/>
      <c r="D47" s="290"/>
      <c r="E47" s="290"/>
      <c r="F47" s="36"/>
      <c r="G47" s="36"/>
      <c r="H47" s="2"/>
      <c r="I47" s="38"/>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row>
    <row r="48" spans="1:144" ht="35.25" customHeight="1" x14ac:dyDescent="0.2">
      <c r="A48" s="2"/>
      <c r="B48" s="770" t="s">
        <v>380</v>
      </c>
      <c r="C48" s="770"/>
      <c r="D48" s="770"/>
      <c r="E48" s="770"/>
      <c r="F48" s="36"/>
      <c r="G48" s="36"/>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row>
    <row r="49" spans="1:144" ht="20.25" customHeight="1" x14ac:dyDescent="0.2">
      <c r="A49" s="2"/>
      <c r="B49" s="770" t="s">
        <v>381</v>
      </c>
      <c r="C49" s="770"/>
      <c r="D49" s="770"/>
      <c r="E49" s="770"/>
      <c r="F49" s="36"/>
      <c r="G49" s="36"/>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row>
    <row r="50" spans="1:144" ht="23.25" x14ac:dyDescent="0.25">
      <c r="A50" s="2"/>
      <c r="B50" s="767" t="s">
        <v>524</v>
      </c>
      <c r="C50" s="767"/>
      <c r="D50" s="316"/>
      <c r="E50" s="316"/>
      <c r="F50" s="36"/>
      <c r="G50" s="36"/>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row>
    <row r="51" spans="1:144" ht="23.45" customHeight="1" x14ac:dyDescent="0.25">
      <c r="A51" s="2"/>
      <c r="B51" s="2"/>
      <c r="C51" s="2"/>
      <c r="D51" s="767"/>
      <c r="E51" s="767"/>
      <c r="F51" s="36"/>
      <c r="G51" s="36"/>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row>
    <row r="52" spans="1:144" ht="23.25" x14ac:dyDescent="0.35">
      <c r="A52" s="2"/>
      <c r="B52" s="39"/>
      <c r="C52" s="40"/>
      <c r="D52" s="40"/>
      <c r="E52" s="40"/>
      <c r="F52" s="40"/>
      <c r="G52" s="40"/>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row>
    <row r="53" spans="1:144" ht="23.25" x14ac:dyDescent="0.35">
      <c r="A53" s="2"/>
      <c r="B53" s="41"/>
      <c r="C53" s="40"/>
      <c r="D53" s="40"/>
      <c r="E53" s="40"/>
      <c r="F53" s="40"/>
      <c r="G53" s="40"/>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row>
    <row r="54" spans="1:144" ht="23.25" x14ac:dyDescent="0.35">
      <c r="A54" s="2"/>
      <c r="B54" s="40"/>
      <c r="C54" s="40"/>
      <c r="D54" s="40"/>
      <c r="E54" s="40"/>
      <c r="F54" s="40"/>
      <c r="G54" s="40"/>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row>
    <row r="55" spans="1:144" ht="39" customHeight="1" thickBot="1" x14ac:dyDescent="0.4">
      <c r="A55" s="2"/>
      <c r="B55" s="404" t="s">
        <v>435</v>
      </c>
      <c r="C55" s="40"/>
      <c r="D55" s="40"/>
      <c r="E55" s="40"/>
      <c r="F55" s="40"/>
      <c r="G55" s="635" t="s">
        <v>525</v>
      </c>
      <c r="H55" s="774"/>
      <c r="I55" s="774"/>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row>
    <row r="56" spans="1:144" ht="123.75" customHeight="1" thickBot="1" x14ac:dyDescent="0.25">
      <c r="A56" s="2"/>
      <c r="B56" s="775" t="s">
        <v>107</v>
      </c>
      <c r="C56" s="776"/>
      <c r="D56" s="273" t="s">
        <v>152</v>
      </c>
      <c r="E56" s="273" t="s">
        <v>526</v>
      </c>
      <c r="F56" s="291" t="s">
        <v>527</v>
      </c>
      <c r="G56" s="441" t="s">
        <v>528</v>
      </c>
      <c r="H56" s="442" t="s">
        <v>402</v>
      </c>
      <c r="I56" s="443" t="s">
        <v>405</v>
      </c>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row>
    <row r="57" spans="1:144" ht="24" customHeight="1" thickBot="1" x14ac:dyDescent="0.3">
      <c r="A57" s="2"/>
      <c r="B57" s="274" t="s">
        <v>108</v>
      </c>
      <c r="C57" s="277" t="s">
        <v>30</v>
      </c>
      <c r="D57" s="273"/>
      <c r="E57" s="276"/>
      <c r="F57" s="276"/>
      <c r="G57" s="292"/>
      <c r="H57" s="293"/>
      <c r="I57" s="293"/>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row>
    <row r="58" spans="1:144" ht="24" customHeight="1" thickBot="1" x14ac:dyDescent="0.25">
      <c r="A58" s="2"/>
      <c r="B58" s="326">
        <v>1</v>
      </c>
      <c r="C58" s="317">
        <v>2</v>
      </c>
      <c r="D58" s="323">
        <v>3</v>
      </c>
      <c r="E58" s="327">
        <v>4</v>
      </c>
      <c r="F58" s="327">
        <v>5</v>
      </c>
      <c r="G58" s="324">
        <v>6</v>
      </c>
      <c r="H58" s="325">
        <v>7</v>
      </c>
      <c r="I58" s="325">
        <v>8</v>
      </c>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row>
    <row r="59" spans="1:144" ht="24" customHeight="1" thickBot="1" x14ac:dyDescent="0.25">
      <c r="A59" s="2"/>
      <c r="B59" s="282" t="s">
        <v>268</v>
      </c>
      <c r="C59" s="283">
        <v>557</v>
      </c>
      <c r="D59" s="588" t="str">
        <f>D12</f>
        <v>нет</v>
      </c>
      <c r="E59" s="589">
        <f>E12</f>
        <v>14</v>
      </c>
      <c r="F59" s="595">
        <f>F12</f>
        <v>42</v>
      </c>
      <c r="G59" s="596">
        <f>E59/F59*100</f>
        <v>33.333333333333329</v>
      </c>
      <c r="H59" s="597">
        <v>0</v>
      </c>
      <c r="I59" s="598" t="s">
        <v>404</v>
      </c>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row>
    <row r="60" spans="1:144" ht="24" customHeight="1" thickBot="1" x14ac:dyDescent="0.25">
      <c r="A60" s="2"/>
      <c r="B60" s="284" t="s">
        <v>292</v>
      </c>
      <c r="C60" s="282">
        <v>559</v>
      </c>
      <c r="D60" s="588" t="str">
        <f t="shared" ref="D60:D88" si="0">D13</f>
        <v>да</v>
      </c>
      <c r="E60" s="589">
        <f t="shared" ref="E60:E88" si="1">E13</f>
        <v>13</v>
      </c>
      <c r="F60" s="595">
        <f t="shared" ref="F60:F88" si="2">F13</f>
        <v>39</v>
      </c>
      <c r="G60" s="596">
        <f t="shared" ref="G60:G78" si="3">E60/F60*100</f>
        <v>33.333333333333329</v>
      </c>
      <c r="H60" s="597">
        <f>1-(G60/100)</f>
        <v>0.66666666666666674</v>
      </c>
      <c r="I60" s="598" t="s">
        <v>403</v>
      </c>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row>
    <row r="61" spans="1:144" ht="24" customHeight="1" thickBot="1" x14ac:dyDescent="0.25">
      <c r="A61" s="2"/>
      <c r="B61" s="285" t="s">
        <v>291</v>
      </c>
      <c r="C61" s="286">
        <v>560</v>
      </c>
      <c r="D61" s="588" t="str">
        <f t="shared" si="0"/>
        <v>да</v>
      </c>
      <c r="E61" s="589">
        <f t="shared" si="1"/>
        <v>4</v>
      </c>
      <c r="F61" s="595">
        <f t="shared" si="2"/>
        <v>43</v>
      </c>
      <c r="G61" s="596">
        <f t="shared" si="3"/>
        <v>9.3023255813953494</v>
      </c>
      <c r="H61" s="597">
        <f>1-(G61/100)</f>
        <v>0.90697674418604657</v>
      </c>
      <c r="I61" s="598" t="s">
        <v>403</v>
      </c>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row>
    <row r="62" spans="1:144" ht="24" customHeight="1" thickBot="1" x14ac:dyDescent="0.25">
      <c r="A62" s="2"/>
      <c r="B62" s="282" t="s">
        <v>271</v>
      </c>
      <c r="C62" s="282">
        <v>601</v>
      </c>
      <c r="D62" s="588" t="str">
        <f t="shared" si="0"/>
        <v>нет</v>
      </c>
      <c r="E62" s="589">
        <f t="shared" si="1"/>
        <v>6</v>
      </c>
      <c r="F62" s="595">
        <f t="shared" si="2"/>
        <v>49</v>
      </c>
      <c r="G62" s="596">
        <f t="shared" si="3"/>
        <v>12.244897959183673</v>
      </c>
      <c r="H62" s="597">
        <v>0</v>
      </c>
      <c r="I62" s="598" t="s">
        <v>404</v>
      </c>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row>
    <row r="63" spans="1:144" ht="24" customHeight="1" thickBot="1" x14ac:dyDescent="0.25">
      <c r="A63" s="2"/>
      <c r="B63" s="284" t="s">
        <v>320</v>
      </c>
      <c r="C63" s="282">
        <v>602</v>
      </c>
      <c r="D63" s="588" t="str">
        <f t="shared" si="0"/>
        <v>******</v>
      </c>
      <c r="E63" s="589" t="str">
        <f t="shared" si="1"/>
        <v>******</v>
      </c>
      <c r="F63" s="595" t="str">
        <f t="shared" si="2"/>
        <v>******</v>
      </c>
      <c r="G63" s="595" t="s">
        <v>396</v>
      </c>
      <c r="H63" s="595" t="s">
        <v>396</v>
      </c>
      <c r="I63" s="590" t="s">
        <v>396</v>
      </c>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row>
    <row r="64" spans="1:144" ht="24" customHeight="1" thickBot="1" x14ac:dyDescent="0.25">
      <c r="A64" s="2"/>
      <c r="B64" s="287" t="s">
        <v>293</v>
      </c>
      <c r="C64" s="286">
        <v>603</v>
      </c>
      <c r="D64" s="588" t="str">
        <f t="shared" si="0"/>
        <v>******</v>
      </c>
      <c r="E64" s="589" t="str">
        <f t="shared" si="1"/>
        <v>******</v>
      </c>
      <c r="F64" s="595" t="str">
        <f t="shared" si="2"/>
        <v>******</v>
      </c>
      <c r="G64" s="595" t="s">
        <v>396</v>
      </c>
      <c r="H64" s="595" t="s">
        <v>396</v>
      </c>
      <c r="I64" s="590" t="s">
        <v>396</v>
      </c>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row>
    <row r="65" spans="1:144" ht="24" customHeight="1" thickBot="1" x14ac:dyDescent="0.25">
      <c r="A65" s="2"/>
      <c r="B65" s="286" t="s">
        <v>294</v>
      </c>
      <c r="C65" s="282">
        <v>604</v>
      </c>
      <c r="D65" s="588" t="str">
        <f t="shared" si="0"/>
        <v>******</v>
      </c>
      <c r="E65" s="589" t="str">
        <f t="shared" si="1"/>
        <v>******</v>
      </c>
      <c r="F65" s="595" t="str">
        <f t="shared" si="2"/>
        <v>******</v>
      </c>
      <c r="G65" s="595" t="s">
        <v>396</v>
      </c>
      <c r="H65" s="595" t="s">
        <v>396</v>
      </c>
      <c r="I65" s="590" t="s">
        <v>396</v>
      </c>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row>
    <row r="66" spans="1:144" ht="24" customHeight="1" thickBot="1" x14ac:dyDescent="0.25">
      <c r="A66" s="2"/>
      <c r="B66" s="287" t="s">
        <v>295</v>
      </c>
      <c r="C66" s="286">
        <v>605</v>
      </c>
      <c r="D66" s="588" t="str">
        <f t="shared" si="0"/>
        <v>******</v>
      </c>
      <c r="E66" s="589" t="str">
        <f t="shared" si="1"/>
        <v>******</v>
      </c>
      <c r="F66" s="595" t="str">
        <f t="shared" si="2"/>
        <v>******</v>
      </c>
      <c r="G66" s="595" t="s">
        <v>396</v>
      </c>
      <c r="H66" s="595" t="s">
        <v>396</v>
      </c>
      <c r="I66" s="590" t="s">
        <v>396</v>
      </c>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row>
    <row r="67" spans="1:144" ht="24" customHeight="1" thickBot="1" x14ac:dyDescent="0.25">
      <c r="A67" s="2"/>
      <c r="B67" s="287" t="s">
        <v>290</v>
      </c>
      <c r="C67" s="282">
        <v>606</v>
      </c>
      <c r="D67" s="588" t="str">
        <f t="shared" si="0"/>
        <v>******</v>
      </c>
      <c r="E67" s="589" t="str">
        <f t="shared" si="1"/>
        <v>******</v>
      </c>
      <c r="F67" s="595" t="str">
        <f t="shared" si="2"/>
        <v>******</v>
      </c>
      <c r="G67" s="595" t="s">
        <v>396</v>
      </c>
      <c r="H67" s="595" t="s">
        <v>396</v>
      </c>
      <c r="I67" s="590" t="s">
        <v>396</v>
      </c>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row>
    <row r="68" spans="1:144" ht="24" customHeight="1" thickBot="1" x14ac:dyDescent="0.25">
      <c r="A68" s="2"/>
      <c r="B68" s="286" t="s">
        <v>296</v>
      </c>
      <c r="C68" s="286">
        <v>608</v>
      </c>
      <c r="D68" s="588" t="str">
        <f t="shared" si="0"/>
        <v>******</v>
      </c>
      <c r="E68" s="589" t="str">
        <f t="shared" si="1"/>
        <v>******</v>
      </c>
      <c r="F68" s="595" t="str">
        <f t="shared" si="2"/>
        <v>******</v>
      </c>
      <c r="G68" s="595" t="s">
        <v>396</v>
      </c>
      <c r="H68" s="595" t="s">
        <v>396</v>
      </c>
      <c r="I68" s="590" t="s">
        <v>396</v>
      </c>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row>
    <row r="69" spans="1:144" ht="24" customHeight="1" thickBot="1" x14ac:dyDescent="0.25">
      <c r="A69" s="2"/>
      <c r="B69" s="282" t="s">
        <v>282</v>
      </c>
      <c r="C69" s="282">
        <v>685</v>
      </c>
      <c r="D69" s="588" t="str">
        <f t="shared" si="0"/>
        <v>нет</v>
      </c>
      <c r="E69" s="589">
        <f t="shared" si="1"/>
        <v>6</v>
      </c>
      <c r="F69" s="595">
        <f t="shared" si="2"/>
        <v>32</v>
      </c>
      <c r="G69" s="596">
        <f t="shared" si="3"/>
        <v>18.75</v>
      </c>
      <c r="H69" s="597">
        <v>0</v>
      </c>
      <c r="I69" s="598" t="s">
        <v>404</v>
      </c>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row>
    <row r="70" spans="1:144" ht="24" customHeight="1" thickBot="1" x14ac:dyDescent="0.25">
      <c r="A70" s="2"/>
      <c r="B70" s="288" t="s">
        <v>297</v>
      </c>
      <c r="C70" s="286">
        <v>686</v>
      </c>
      <c r="D70" s="588" t="str">
        <f t="shared" si="0"/>
        <v>нет</v>
      </c>
      <c r="E70" s="589">
        <f t="shared" si="1"/>
        <v>9</v>
      </c>
      <c r="F70" s="595">
        <f t="shared" si="2"/>
        <v>50</v>
      </c>
      <c r="G70" s="596">
        <f t="shared" si="3"/>
        <v>18</v>
      </c>
      <c r="H70" s="597">
        <v>0</v>
      </c>
      <c r="I70" s="598" t="s">
        <v>404</v>
      </c>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row>
    <row r="71" spans="1:144" ht="24" customHeight="1" thickBot="1" x14ac:dyDescent="0.25">
      <c r="A71" s="2"/>
      <c r="B71" s="282" t="s">
        <v>283</v>
      </c>
      <c r="C71" s="282">
        <v>688</v>
      </c>
      <c r="D71" s="588" t="str">
        <f t="shared" si="0"/>
        <v>да</v>
      </c>
      <c r="E71" s="589">
        <f t="shared" si="1"/>
        <v>3</v>
      </c>
      <c r="F71" s="595">
        <f t="shared" si="2"/>
        <v>33</v>
      </c>
      <c r="G71" s="596">
        <f t="shared" si="3"/>
        <v>9.0909090909090917</v>
      </c>
      <c r="H71" s="597">
        <f>1-(G71/100)</f>
        <v>0.90909090909090906</v>
      </c>
      <c r="I71" s="598" t="s">
        <v>403</v>
      </c>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row>
    <row r="72" spans="1:144" ht="24" customHeight="1" thickBot="1" x14ac:dyDescent="0.25">
      <c r="A72" s="2"/>
      <c r="B72" s="286" t="s">
        <v>298</v>
      </c>
      <c r="C72" s="286">
        <v>691</v>
      </c>
      <c r="D72" s="588" t="str">
        <f t="shared" si="0"/>
        <v>нет/нет</v>
      </c>
      <c r="E72" s="589">
        <f t="shared" si="1"/>
        <v>13</v>
      </c>
      <c r="F72" s="595">
        <f t="shared" si="2"/>
        <v>73</v>
      </c>
      <c r="G72" s="596">
        <f t="shared" si="3"/>
        <v>17.80821917808219</v>
      </c>
      <c r="H72" s="597">
        <v>0</v>
      </c>
      <c r="I72" s="598" t="s">
        <v>404</v>
      </c>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row>
    <row r="73" spans="1:144" ht="24" customHeight="1" thickBot="1" x14ac:dyDescent="0.25">
      <c r="A73" s="2"/>
      <c r="B73" s="282" t="s">
        <v>281</v>
      </c>
      <c r="C73" s="282">
        <v>692</v>
      </c>
      <c r="D73" s="588" t="str">
        <f t="shared" si="0"/>
        <v>да</v>
      </c>
      <c r="E73" s="589">
        <f t="shared" si="1"/>
        <v>4</v>
      </c>
      <c r="F73" s="595">
        <f t="shared" si="2"/>
        <v>36</v>
      </c>
      <c r="G73" s="596">
        <f t="shared" si="3"/>
        <v>11.111111111111111</v>
      </c>
      <c r="H73" s="597">
        <f>1-(G73/100)</f>
        <v>0.88888888888888884</v>
      </c>
      <c r="I73" s="598" t="s">
        <v>403</v>
      </c>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row>
    <row r="74" spans="1:144" ht="24" customHeight="1" thickBot="1" x14ac:dyDescent="0.25">
      <c r="A74" s="2"/>
      <c r="B74" s="284" t="s">
        <v>299</v>
      </c>
      <c r="C74" s="286">
        <v>696</v>
      </c>
      <c r="D74" s="588" t="str">
        <f t="shared" si="0"/>
        <v>нет/да</v>
      </c>
      <c r="E74" s="589">
        <f t="shared" si="1"/>
        <v>11</v>
      </c>
      <c r="F74" s="595">
        <f t="shared" si="2"/>
        <v>90</v>
      </c>
      <c r="G74" s="596">
        <f t="shared" si="3"/>
        <v>12.222222222222221</v>
      </c>
      <c r="H74" s="597">
        <v>0</v>
      </c>
      <c r="I74" s="598" t="s">
        <v>404</v>
      </c>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row>
    <row r="75" spans="1:144" ht="33" customHeight="1" thickBot="1" x14ac:dyDescent="0.25">
      <c r="A75" s="2"/>
      <c r="B75" s="282" t="s">
        <v>269</v>
      </c>
      <c r="C75" s="282">
        <v>697</v>
      </c>
      <c r="D75" s="588" t="str">
        <f t="shared" si="0"/>
        <v>нет</v>
      </c>
      <c r="E75" s="589">
        <f t="shared" si="1"/>
        <v>15</v>
      </c>
      <c r="F75" s="595">
        <f t="shared" si="2"/>
        <v>45</v>
      </c>
      <c r="G75" s="596">
        <f t="shared" si="3"/>
        <v>33.333333333333329</v>
      </c>
      <c r="H75" s="597">
        <v>0</v>
      </c>
      <c r="I75" s="598" t="s">
        <v>404</v>
      </c>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row>
    <row r="76" spans="1:144" ht="24" customHeight="1" thickBot="1" x14ac:dyDescent="0.25">
      <c r="A76" s="2"/>
      <c r="B76" s="286" t="s">
        <v>286</v>
      </c>
      <c r="C76" s="286">
        <v>698</v>
      </c>
      <c r="D76" s="588" t="str">
        <f t="shared" si="0"/>
        <v>да</v>
      </c>
      <c r="E76" s="589">
        <f t="shared" si="1"/>
        <v>3</v>
      </c>
      <c r="F76" s="595">
        <f t="shared" si="2"/>
        <v>32</v>
      </c>
      <c r="G76" s="596">
        <f t="shared" si="3"/>
        <v>9.375</v>
      </c>
      <c r="H76" s="597">
        <f>1-(G76/100)</f>
        <v>0.90625</v>
      </c>
      <c r="I76" s="598" t="s">
        <v>403</v>
      </c>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row>
    <row r="77" spans="1:144" ht="24" customHeight="1" thickBot="1" x14ac:dyDescent="0.25">
      <c r="A77" s="2"/>
      <c r="B77" s="285" t="s">
        <v>300</v>
      </c>
      <c r="C77" s="282">
        <v>699</v>
      </c>
      <c r="D77" s="588" t="str">
        <f t="shared" si="0"/>
        <v>да</v>
      </c>
      <c r="E77" s="589">
        <f t="shared" si="1"/>
        <v>3</v>
      </c>
      <c r="F77" s="595">
        <f t="shared" si="2"/>
        <v>46</v>
      </c>
      <c r="G77" s="596">
        <f t="shared" si="3"/>
        <v>6.5217391304347823</v>
      </c>
      <c r="H77" s="597">
        <f>1-(G77/100)</f>
        <v>0.93478260869565222</v>
      </c>
      <c r="I77" s="598" t="s">
        <v>403</v>
      </c>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row>
    <row r="78" spans="1:144" ht="24" customHeight="1" thickBot="1" x14ac:dyDescent="0.25">
      <c r="A78" s="2"/>
      <c r="B78" s="286" t="s">
        <v>270</v>
      </c>
      <c r="C78" s="286">
        <v>700</v>
      </c>
      <c r="D78" s="588" t="str">
        <f t="shared" si="0"/>
        <v>нет</v>
      </c>
      <c r="E78" s="589">
        <f t="shared" si="1"/>
        <v>27</v>
      </c>
      <c r="F78" s="595">
        <f t="shared" si="2"/>
        <v>49</v>
      </c>
      <c r="G78" s="596">
        <f t="shared" si="3"/>
        <v>55.102040816326522</v>
      </c>
      <c r="H78" s="597">
        <v>0</v>
      </c>
      <c r="I78" s="598" t="s">
        <v>404</v>
      </c>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row>
    <row r="79" spans="1:144" ht="28.5" customHeight="1" thickBot="1" x14ac:dyDescent="0.25">
      <c r="A79" s="2"/>
      <c r="B79" s="282" t="s">
        <v>274</v>
      </c>
      <c r="C79" s="282">
        <v>701</v>
      </c>
      <c r="D79" s="588" t="str">
        <f t="shared" si="0"/>
        <v>******</v>
      </c>
      <c r="E79" s="589" t="str">
        <f t="shared" si="1"/>
        <v>******</v>
      </c>
      <c r="F79" s="595" t="str">
        <f t="shared" si="2"/>
        <v>******</v>
      </c>
      <c r="G79" s="595" t="s">
        <v>396</v>
      </c>
      <c r="H79" s="595" t="s">
        <v>396</v>
      </c>
      <c r="I79" s="590" t="s">
        <v>396</v>
      </c>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row>
    <row r="80" spans="1:144" ht="25.5" customHeight="1" thickBot="1" x14ac:dyDescent="0.25">
      <c r="A80" s="2"/>
      <c r="B80" s="284" t="s">
        <v>301</v>
      </c>
      <c r="C80" s="286">
        <v>702</v>
      </c>
      <c r="D80" s="588" t="str">
        <f t="shared" si="0"/>
        <v>******</v>
      </c>
      <c r="E80" s="589" t="str">
        <f t="shared" si="1"/>
        <v>******</v>
      </c>
      <c r="F80" s="595" t="str">
        <f t="shared" si="2"/>
        <v>******</v>
      </c>
      <c r="G80" s="595" t="s">
        <v>396</v>
      </c>
      <c r="H80" s="595" t="s">
        <v>396</v>
      </c>
      <c r="I80" s="590" t="s">
        <v>396</v>
      </c>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row>
    <row r="81" spans="1:144" ht="28.5" customHeight="1" thickBot="1" x14ac:dyDescent="0.25">
      <c r="A81" s="2"/>
      <c r="B81" s="282" t="s">
        <v>275</v>
      </c>
      <c r="C81" s="282">
        <v>705</v>
      </c>
      <c r="D81" s="588" t="str">
        <f t="shared" si="0"/>
        <v>******</v>
      </c>
      <c r="E81" s="589" t="str">
        <f t="shared" si="1"/>
        <v>******</v>
      </c>
      <c r="F81" s="595" t="str">
        <f t="shared" si="2"/>
        <v>******</v>
      </c>
      <c r="G81" s="595" t="s">
        <v>396</v>
      </c>
      <c r="H81" s="595" t="s">
        <v>396</v>
      </c>
      <c r="I81" s="590" t="s">
        <v>396</v>
      </c>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row>
    <row r="82" spans="1:144" ht="40.5" customHeight="1" thickBot="1" x14ac:dyDescent="0.25">
      <c r="A82" s="2"/>
      <c r="B82" s="286" t="s">
        <v>276</v>
      </c>
      <c r="C82" s="286">
        <v>820</v>
      </c>
      <c r="D82" s="588" t="str">
        <f t="shared" si="0"/>
        <v>да</v>
      </c>
      <c r="E82" s="589">
        <f t="shared" si="1"/>
        <v>6</v>
      </c>
      <c r="F82" s="595">
        <f t="shared" si="2"/>
        <v>43</v>
      </c>
      <c r="G82" s="596">
        <f t="shared" ref="G82:G88" si="4">E82/F82*100</f>
        <v>13.953488372093023</v>
      </c>
      <c r="H82" s="597">
        <f>1-(E82/F82)</f>
        <v>0.86046511627906974</v>
      </c>
      <c r="I82" s="598" t="s">
        <v>403</v>
      </c>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row>
    <row r="83" spans="1:144" ht="40.5" customHeight="1" thickBot="1" x14ac:dyDescent="0.25">
      <c r="A83" s="2"/>
      <c r="B83" s="282" t="s">
        <v>277</v>
      </c>
      <c r="C83" s="282">
        <v>830</v>
      </c>
      <c r="D83" s="588" t="str">
        <f t="shared" si="0"/>
        <v>да</v>
      </c>
      <c r="E83" s="589">
        <f t="shared" si="1"/>
        <v>6</v>
      </c>
      <c r="F83" s="595">
        <f t="shared" si="2"/>
        <v>43</v>
      </c>
      <c r="G83" s="596">
        <f t="shared" si="4"/>
        <v>13.953488372093023</v>
      </c>
      <c r="H83" s="597">
        <f>1-(E83/F83)</f>
        <v>0.86046511627906974</v>
      </c>
      <c r="I83" s="598" t="s">
        <v>403</v>
      </c>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row>
    <row r="84" spans="1:144" ht="48" customHeight="1" thickBot="1" x14ac:dyDescent="0.25">
      <c r="A84" s="2"/>
      <c r="B84" s="286" t="s">
        <v>278</v>
      </c>
      <c r="C84" s="286">
        <v>840</v>
      </c>
      <c r="D84" s="588" t="str">
        <f t="shared" si="0"/>
        <v>нет</v>
      </c>
      <c r="E84" s="589">
        <f t="shared" si="1"/>
        <v>7</v>
      </c>
      <c r="F84" s="595">
        <f t="shared" si="2"/>
        <v>44</v>
      </c>
      <c r="G84" s="596">
        <f t="shared" si="4"/>
        <v>15.909090909090908</v>
      </c>
      <c r="H84" s="597">
        <v>0</v>
      </c>
      <c r="I84" s="598" t="s">
        <v>404</v>
      </c>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row>
    <row r="85" spans="1:144" ht="46.5" customHeight="1" thickBot="1" x14ac:dyDescent="0.25">
      <c r="A85" s="2"/>
      <c r="B85" s="282" t="s">
        <v>279</v>
      </c>
      <c r="C85" s="282">
        <v>850</v>
      </c>
      <c r="D85" s="588" t="str">
        <f t="shared" si="0"/>
        <v>нет</v>
      </c>
      <c r="E85" s="589">
        <f t="shared" si="1"/>
        <v>11</v>
      </c>
      <c r="F85" s="595">
        <f t="shared" si="2"/>
        <v>46</v>
      </c>
      <c r="G85" s="596">
        <f t="shared" si="4"/>
        <v>23.913043478260871</v>
      </c>
      <c r="H85" s="597">
        <v>0</v>
      </c>
      <c r="I85" s="598" t="s">
        <v>404</v>
      </c>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row>
    <row r="86" spans="1:144" ht="51" customHeight="1" thickBot="1" x14ac:dyDescent="0.25">
      <c r="A86" s="2"/>
      <c r="B86" s="286" t="s">
        <v>280</v>
      </c>
      <c r="C86" s="286">
        <v>860</v>
      </c>
      <c r="D86" s="588" t="str">
        <f t="shared" si="0"/>
        <v>нет</v>
      </c>
      <c r="E86" s="589">
        <f t="shared" si="1"/>
        <v>9</v>
      </c>
      <c r="F86" s="595">
        <f t="shared" si="2"/>
        <v>46</v>
      </c>
      <c r="G86" s="596">
        <f t="shared" si="4"/>
        <v>19.565217391304348</v>
      </c>
      <c r="H86" s="597">
        <v>0</v>
      </c>
      <c r="I86" s="598" t="s">
        <v>404</v>
      </c>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row>
    <row r="87" spans="1:144" ht="48" customHeight="1" thickBot="1" x14ac:dyDescent="0.25">
      <c r="A87" s="2"/>
      <c r="B87" s="282" t="s">
        <v>272</v>
      </c>
      <c r="C87" s="282">
        <v>870</v>
      </c>
      <c r="D87" s="588" t="str">
        <f t="shared" si="0"/>
        <v>да</v>
      </c>
      <c r="E87" s="589">
        <f t="shared" si="1"/>
        <v>10</v>
      </c>
      <c r="F87" s="595">
        <f t="shared" si="2"/>
        <v>44</v>
      </c>
      <c r="G87" s="596">
        <f t="shared" si="4"/>
        <v>22.727272727272727</v>
      </c>
      <c r="H87" s="597">
        <f>1-(G87/100)</f>
        <v>0.77272727272727271</v>
      </c>
      <c r="I87" s="598" t="s">
        <v>403</v>
      </c>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row>
    <row r="88" spans="1:144" ht="41.25" customHeight="1" thickBot="1" x14ac:dyDescent="0.25">
      <c r="A88" s="2"/>
      <c r="B88" s="282" t="s">
        <v>273</v>
      </c>
      <c r="C88" s="289">
        <v>880</v>
      </c>
      <c r="D88" s="588" t="str">
        <f t="shared" si="0"/>
        <v>нет</v>
      </c>
      <c r="E88" s="589">
        <f t="shared" si="1"/>
        <v>10</v>
      </c>
      <c r="F88" s="595">
        <f t="shared" si="2"/>
        <v>43</v>
      </c>
      <c r="G88" s="599">
        <f t="shared" si="4"/>
        <v>23.255813953488371</v>
      </c>
      <c r="H88" s="597">
        <v>0</v>
      </c>
      <c r="I88" s="598" t="s">
        <v>404</v>
      </c>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row>
    <row r="89" spans="1:144"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row>
    <row r="90" spans="1:144" ht="15.75" x14ac:dyDescent="0.2">
      <c r="A90" s="2"/>
      <c r="B90" s="316" t="s">
        <v>401</v>
      </c>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row>
    <row r="91" spans="1:144"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row>
    <row r="92" spans="1:144"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row>
    <row r="93" spans="1:144"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row>
    <row r="94" spans="1:144"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row>
    <row r="95" spans="1:144"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row>
    <row r="96" spans="1:144"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row>
    <row r="97" spans="1:144"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row>
    <row r="98" spans="1:144"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row>
    <row r="99" spans="1:144"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row>
    <row r="100" spans="1:144"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row>
    <row r="101" spans="1:144"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row>
    <row r="102" spans="1:144"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row>
    <row r="103" spans="1:144"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row>
    <row r="104" spans="1:144"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row>
    <row r="105" spans="1:144"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row>
    <row r="106" spans="1:144"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row>
    <row r="107" spans="1:144"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row>
    <row r="108" spans="1:144"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row>
    <row r="109" spans="1:144"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row>
    <row r="110" spans="1:144"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row>
    <row r="111" spans="1:144"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row>
    <row r="112" spans="1:144"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row>
    <row r="113" spans="1:144"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row>
    <row r="114" spans="1:144"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row>
    <row r="115" spans="1:144"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row>
    <row r="116" spans="1:144"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row>
    <row r="117" spans="1:144"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row>
    <row r="118" spans="1:144"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row>
    <row r="119" spans="1:144"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row>
    <row r="120" spans="1:144"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row>
    <row r="121" spans="1:144"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row>
    <row r="122" spans="1:144"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row>
    <row r="123" spans="1:144"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row>
    <row r="124" spans="1:144"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row>
    <row r="125" spans="1:144"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row>
    <row r="126" spans="1:144"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row>
    <row r="127" spans="1:144"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row>
    <row r="128" spans="1:144"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row>
    <row r="129" spans="1:144"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row>
    <row r="130" spans="1:144"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row>
    <row r="131" spans="1:144"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row>
    <row r="132" spans="1:144"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row>
    <row r="133" spans="1:144"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row>
    <row r="134" spans="1:144"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row>
    <row r="135" spans="1:144"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row>
    <row r="136" spans="1:144"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row>
    <row r="137" spans="1:144"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row>
    <row r="138" spans="1:144"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row>
    <row r="139" spans="1:144"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row>
    <row r="140" spans="1:144"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row>
    <row r="141" spans="1:144"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row>
    <row r="142" spans="1:144"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row>
    <row r="143" spans="1:144"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row>
    <row r="144" spans="1:144"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row>
    <row r="145" spans="1:144"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row>
    <row r="146" spans="1:144"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row>
    <row r="147" spans="1:144"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row>
    <row r="148" spans="1:144"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row>
    <row r="149" spans="1:144"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row>
    <row r="150" spans="1:144"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row>
    <row r="151" spans="1:144"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row>
    <row r="152" spans="1:144"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row>
    <row r="153" spans="1:144"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row>
    <row r="154" spans="1:144"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row>
    <row r="155" spans="1:144"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row>
    <row r="156" spans="1:144"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row>
    <row r="157" spans="1:144"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row>
    <row r="158" spans="1:144"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row>
    <row r="159" spans="1:144"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row>
    <row r="160" spans="1:144"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row>
    <row r="161" spans="1:144"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row>
    <row r="162" spans="1:144"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row>
    <row r="163" spans="1:144"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row>
    <row r="164" spans="1:144"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row>
    <row r="165" spans="1:144"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row>
    <row r="166" spans="1:144"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row>
    <row r="167" spans="1:144"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row>
    <row r="168" spans="1:144"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row>
    <row r="169" spans="1:144"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row>
    <row r="170" spans="1:144"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row>
    <row r="171" spans="1:144"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row>
    <row r="172" spans="1:144"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row>
    <row r="173" spans="1:144"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row>
    <row r="174" spans="1:144"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row>
    <row r="175" spans="1:144"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row>
    <row r="176" spans="1:144"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row>
    <row r="177" spans="1:144"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row>
    <row r="178" spans="1:144"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row>
    <row r="179" spans="1:144"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row>
    <row r="180" spans="1:144"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row>
    <row r="181" spans="1:144"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row>
    <row r="182" spans="1:144"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row>
    <row r="183" spans="1:144"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row>
    <row r="184" spans="1:144"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row>
    <row r="185" spans="1:144"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row>
    <row r="186" spans="1:144"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row>
    <row r="187" spans="1:144"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row>
    <row r="188" spans="1:144"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row>
    <row r="189" spans="1:144"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row>
    <row r="190" spans="1:144"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row>
    <row r="191" spans="1:144"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row>
    <row r="192" spans="1:144"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row>
    <row r="193" spans="1:144"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row>
    <row r="194" spans="1:144"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row>
    <row r="195" spans="1:144"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row>
    <row r="196" spans="1:144"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row>
    <row r="197" spans="1:144"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row>
    <row r="198" spans="1:144"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row>
    <row r="199" spans="1:144"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row>
    <row r="200" spans="1:144"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row>
    <row r="201" spans="1:144"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row>
    <row r="202" spans="1:144"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row>
    <row r="203" spans="1:144"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row>
    <row r="204" spans="1:144"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row>
    <row r="205" spans="1:144"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row>
    <row r="206" spans="1:144"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row>
    <row r="207" spans="1:144"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row>
    <row r="208" spans="1:144"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row>
    <row r="209" spans="1:144"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row>
    <row r="210" spans="1:144"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row>
    <row r="211" spans="1:144"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row>
    <row r="212" spans="1:144"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row>
    <row r="213" spans="1:144"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row>
    <row r="214" spans="1:144"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row>
    <row r="215" spans="1:144"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row>
    <row r="216" spans="1:144"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row>
    <row r="217" spans="1:144"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row>
    <row r="218" spans="1:144"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row>
    <row r="219" spans="1:144"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row>
    <row r="220" spans="1:144"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row>
    <row r="221" spans="1:144"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row>
    <row r="222" spans="1:144"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row>
    <row r="223" spans="1:144"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row>
    <row r="224" spans="1:144"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row>
    <row r="225" spans="1:144"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row>
    <row r="226" spans="1:144"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row>
    <row r="227" spans="1:144"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row>
    <row r="228" spans="1:144"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row>
    <row r="229" spans="1:144"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row>
    <row r="230" spans="1:144"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row>
    <row r="231" spans="1:144"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row>
    <row r="232" spans="1:144"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row>
    <row r="233" spans="1:144"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row>
    <row r="234" spans="1:144"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row>
    <row r="235" spans="1:144"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row>
    <row r="236" spans="1:144"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row>
    <row r="237" spans="1:144"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row>
    <row r="238" spans="1:144"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row>
    <row r="239" spans="1:144"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row>
    <row r="240" spans="1:144"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row>
    <row r="241" spans="1:144"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row>
    <row r="242" spans="1:144"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row>
    <row r="243" spans="1:144"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row>
    <row r="244" spans="1:144"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row>
    <row r="245" spans="1:144"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row>
    <row r="246" spans="1:144"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row>
    <row r="247" spans="1:144"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row>
    <row r="248" spans="1:144"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row>
    <row r="249" spans="1:144"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row>
    <row r="250" spans="1:144"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row>
    <row r="251" spans="1:144"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row>
    <row r="252" spans="1:144"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row>
    <row r="253" spans="1:144"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row>
    <row r="254" spans="1:144"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row>
    <row r="255" spans="1:144"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row>
    <row r="256" spans="1:144"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row>
    <row r="257" spans="1:144"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row>
    <row r="258" spans="1:144"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row>
    <row r="259" spans="1:144"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row>
    <row r="260" spans="1:144"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row>
    <row r="261" spans="1:144"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row>
    <row r="262" spans="1:144"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row>
    <row r="263" spans="1:144"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row>
    <row r="264" spans="1:144"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row>
    <row r="265" spans="1:144"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row>
    <row r="266" spans="1:144"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row>
    <row r="267" spans="1:144"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row>
    <row r="268" spans="1:144"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row>
    <row r="269" spans="1:144"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row>
    <row r="270" spans="1:144"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row>
    <row r="271" spans="1:144"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row>
    <row r="272" spans="1:144"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row>
    <row r="273" spans="1:144"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row>
    <row r="274" spans="1:144"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row>
    <row r="275" spans="1:144"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row>
    <row r="276" spans="1:144"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row>
    <row r="277" spans="1:144"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row>
    <row r="278" spans="1:144"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row>
    <row r="279" spans="1:144"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row>
    <row r="280" spans="1:144"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row>
    <row r="281" spans="1:144"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row>
    <row r="282" spans="1:144"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row>
    <row r="283" spans="1:144"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row>
    <row r="284" spans="1:144"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row>
    <row r="285" spans="1:144"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row>
    <row r="286" spans="1:144"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row>
    <row r="287" spans="1:144"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row>
    <row r="288" spans="1:144"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row>
    <row r="289" spans="1:144"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row>
    <row r="290" spans="1:144"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row>
    <row r="291" spans="1:144"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row>
    <row r="292" spans="1:144"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row>
    <row r="293" spans="1:144"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row>
    <row r="294" spans="1:144"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row>
    <row r="295" spans="1:144"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row>
    <row r="296" spans="1:144"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row>
    <row r="297" spans="1:144"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row>
    <row r="298" spans="1:144"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row>
    <row r="299" spans="1:144"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row>
    <row r="300" spans="1:144"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row>
    <row r="301" spans="1:144"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row>
    <row r="302" spans="1:144"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row>
    <row r="303" spans="1:144"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row>
    <row r="304" spans="1:144"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row>
    <row r="305" spans="1:144"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row>
    <row r="306" spans="1:144"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row>
    <row r="307" spans="1:144"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row>
    <row r="308" spans="1:144"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row>
    <row r="309" spans="1:144"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row>
    <row r="310" spans="1:144"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row>
    <row r="311" spans="1:144"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row>
    <row r="312" spans="1:144"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row>
    <row r="313" spans="1:144"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row>
    <row r="314" spans="1:144"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row>
    <row r="315" spans="1:144"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row>
    <row r="316" spans="1:144"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row>
    <row r="317" spans="1:144"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row>
    <row r="318" spans="1:144"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row>
    <row r="319" spans="1:144"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row>
    <row r="320" spans="1:144"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row>
    <row r="321" spans="1:144"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row>
  </sheetData>
  <mergeCells count="19">
    <mergeCell ref="G55:I55"/>
    <mergeCell ref="B56:C56"/>
    <mergeCell ref="B44:E44"/>
    <mergeCell ref="B45:E45"/>
    <mergeCell ref="B46:E46"/>
    <mergeCell ref="B48:E48"/>
    <mergeCell ref="B49:E49"/>
    <mergeCell ref="B9:C9"/>
    <mergeCell ref="C42:E42"/>
    <mergeCell ref="E2:F2"/>
    <mergeCell ref="B50:C50"/>
    <mergeCell ref="D51:E51"/>
    <mergeCell ref="C3:E3"/>
    <mergeCell ref="B4:E4"/>
    <mergeCell ref="B5:E5"/>
    <mergeCell ref="B43:E43"/>
    <mergeCell ref="C6:E6"/>
    <mergeCell ref="B7:E7"/>
    <mergeCell ref="B8:E8"/>
  </mergeCells>
  <pageMargins left="0.59055118110236227" right="0" top="0" bottom="0" header="0" footer="0"/>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1"/>
  <sheetViews>
    <sheetView topLeftCell="A7" zoomScale="75" workbookViewId="0">
      <selection activeCell="B20" sqref="B20:D50"/>
    </sheetView>
  </sheetViews>
  <sheetFormatPr defaultColWidth="8.85546875" defaultRowHeight="12.75" x14ac:dyDescent="0.2"/>
  <cols>
    <col min="1" max="1" width="63.85546875" style="2" customWidth="1"/>
    <col min="2" max="2" width="29.140625" style="2" customWidth="1"/>
    <col min="3" max="3" width="13.140625" style="2" customWidth="1"/>
    <col min="4" max="4" width="34.28515625" style="2" customWidth="1"/>
    <col min="5" max="5" width="21.42578125" style="2" customWidth="1"/>
    <col min="6" max="16384" width="8.85546875" style="2"/>
  </cols>
  <sheetData>
    <row r="2" spans="1:6" ht="119.25" customHeight="1" x14ac:dyDescent="0.2">
      <c r="B2" s="244"/>
      <c r="C2" s="793" t="s">
        <v>457</v>
      </c>
      <c r="D2" s="794"/>
      <c r="E2" s="7"/>
    </row>
    <row r="3" spans="1:6" ht="15" x14ac:dyDescent="0.25">
      <c r="A3" s="761"/>
      <c r="B3" s="761"/>
      <c r="C3" s="761"/>
      <c r="D3" s="761"/>
      <c r="E3" s="225"/>
    </row>
    <row r="4" spans="1:6" x14ac:dyDescent="0.2">
      <c r="A4" s="795"/>
      <c r="B4" s="795"/>
      <c r="C4" s="795"/>
      <c r="D4" s="795"/>
      <c r="E4" s="7"/>
    </row>
    <row r="5" spans="1:6" ht="18.75" x14ac:dyDescent="0.3">
      <c r="A5" s="797" t="s">
        <v>17</v>
      </c>
      <c r="B5" s="797"/>
      <c r="C5" s="797"/>
      <c r="D5" s="797"/>
      <c r="E5" s="7"/>
    </row>
    <row r="6" spans="1:6" ht="18.75" x14ac:dyDescent="0.3">
      <c r="A6" s="797" t="s">
        <v>29</v>
      </c>
      <c r="B6" s="797"/>
      <c r="C6" s="797"/>
      <c r="D6" s="797"/>
      <c r="E6" s="7"/>
    </row>
    <row r="7" spans="1:6" ht="19.5" customHeight="1" x14ac:dyDescent="0.3">
      <c r="A7" s="798" t="s">
        <v>138</v>
      </c>
      <c r="B7" s="798"/>
      <c r="C7" s="798"/>
      <c r="D7" s="798"/>
      <c r="E7" s="7"/>
    </row>
    <row r="8" spans="1:6" ht="39" customHeight="1" x14ac:dyDescent="0.2">
      <c r="A8" s="799" t="s">
        <v>139</v>
      </c>
      <c r="B8" s="799"/>
      <c r="C8" s="799"/>
      <c r="D8" s="799"/>
      <c r="E8" s="7"/>
    </row>
    <row r="9" spans="1:6" ht="18.75" x14ac:dyDescent="0.3">
      <c r="A9" s="797" t="s">
        <v>140</v>
      </c>
      <c r="B9" s="797"/>
      <c r="C9" s="797"/>
      <c r="D9" s="797"/>
      <c r="E9" s="7"/>
    </row>
    <row r="10" spans="1:6" ht="18.75" x14ac:dyDescent="0.3">
      <c r="A10" s="797"/>
      <c r="B10" s="797"/>
      <c r="C10" s="797"/>
      <c r="D10" s="797"/>
      <c r="E10" s="7"/>
    </row>
    <row r="11" spans="1:6" ht="18.75" x14ac:dyDescent="0.3">
      <c r="A11" s="797" t="s">
        <v>447</v>
      </c>
      <c r="B11" s="797"/>
      <c r="C11" s="797"/>
      <c r="D11" s="797"/>
      <c r="E11" s="7"/>
    </row>
    <row r="12" spans="1:6" x14ac:dyDescent="0.2">
      <c r="A12" s="781" t="s">
        <v>106</v>
      </c>
      <c r="B12" s="781"/>
      <c r="C12" s="781"/>
      <c r="D12" s="781"/>
      <c r="E12" s="784"/>
    </row>
    <row r="13" spans="1:6" x14ac:dyDescent="0.2">
      <c r="A13" s="781"/>
      <c r="B13" s="781"/>
      <c r="C13" s="781"/>
      <c r="D13" s="781"/>
      <c r="E13" s="784"/>
    </row>
    <row r="14" spans="1:6" x14ac:dyDescent="0.2">
      <c r="A14" s="800"/>
      <c r="B14" s="800"/>
      <c r="C14" s="800"/>
      <c r="D14" s="800"/>
      <c r="E14" s="784"/>
    </row>
    <row r="15" spans="1:6" ht="34.9" customHeight="1" x14ac:dyDescent="0.2">
      <c r="A15" s="796" t="s">
        <v>141</v>
      </c>
      <c r="B15" s="796"/>
      <c r="C15" s="796"/>
      <c r="D15" s="780"/>
      <c r="E15" s="7"/>
      <c r="F15" s="43"/>
    </row>
    <row r="16" spans="1:6" ht="1.5" customHeight="1" x14ac:dyDescent="0.2">
      <c r="A16" s="785" t="s">
        <v>144</v>
      </c>
      <c r="B16" s="786" t="s">
        <v>142</v>
      </c>
      <c r="C16" s="787" t="s">
        <v>143</v>
      </c>
      <c r="D16" s="788"/>
      <c r="E16" s="7"/>
      <c r="F16" s="43"/>
    </row>
    <row r="17" spans="1:6" ht="13.9" customHeight="1" x14ac:dyDescent="0.2">
      <c r="A17" s="785"/>
      <c r="B17" s="786"/>
      <c r="C17" s="787"/>
      <c r="D17" s="788"/>
      <c r="E17" s="778"/>
      <c r="F17" s="43"/>
    </row>
    <row r="18" spans="1:6" ht="79.900000000000006" customHeight="1" x14ac:dyDescent="0.2">
      <c r="A18" s="785"/>
      <c r="B18" s="786"/>
      <c r="C18" s="789"/>
      <c r="D18" s="790"/>
      <c r="E18" s="778"/>
      <c r="F18" s="43"/>
    </row>
    <row r="19" spans="1:6" ht="15.75" x14ac:dyDescent="0.25">
      <c r="A19" s="3">
        <v>1</v>
      </c>
      <c r="B19" s="3">
        <v>2</v>
      </c>
      <c r="C19" s="782">
        <v>3</v>
      </c>
      <c r="D19" s="783"/>
      <c r="E19" s="7"/>
      <c r="F19" s="43"/>
    </row>
    <row r="20" spans="1:6" ht="15.75" x14ac:dyDescent="0.25">
      <c r="A20" s="221" t="s">
        <v>268</v>
      </c>
      <c r="B20" s="3">
        <v>0</v>
      </c>
      <c r="C20" s="782">
        <v>0</v>
      </c>
      <c r="D20" s="783"/>
      <c r="E20" s="225"/>
      <c r="F20" s="43"/>
    </row>
    <row r="21" spans="1:6" ht="15.75" x14ac:dyDescent="0.2">
      <c r="A21" s="231" t="s">
        <v>292</v>
      </c>
      <c r="B21" s="518">
        <v>0</v>
      </c>
      <c r="C21" s="779">
        <v>0</v>
      </c>
      <c r="D21" s="780"/>
      <c r="E21" s="225"/>
      <c r="F21" s="43"/>
    </row>
    <row r="22" spans="1:6" ht="15.75" x14ac:dyDescent="0.2">
      <c r="A22" s="230" t="s">
        <v>291</v>
      </c>
      <c r="B22" s="518">
        <v>0</v>
      </c>
      <c r="C22" s="779">
        <v>0</v>
      </c>
      <c r="D22" s="780"/>
      <c r="E22" s="225"/>
      <c r="F22" s="43"/>
    </row>
    <row r="23" spans="1:6" ht="15.75" x14ac:dyDescent="0.2">
      <c r="A23" s="221" t="s">
        <v>271</v>
      </c>
      <c r="B23" s="518">
        <v>1</v>
      </c>
      <c r="C23" s="779">
        <v>0</v>
      </c>
      <c r="D23" s="780"/>
      <c r="E23" s="225"/>
      <c r="F23" s="43"/>
    </row>
    <row r="24" spans="1:6" ht="15.75" x14ac:dyDescent="0.2">
      <c r="A24" s="231" t="s">
        <v>320</v>
      </c>
      <c r="B24" s="518">
        <v>0</v>
      </c>
      <c r="C24" s="779">
        <v>0</v>
      </c>
      <c r="D24" s="780"/>
      <c r="E24" s="250"/>
      <c r="F24" s="43"/>
    </row>
    <row r="25" spans="1:6" ht="15.75" x14ac:dyDescent="0.2">
      <c r="A25" s="229" t="s">
        <v>293</v>
      </c>
      <c r="B25" s="518">
        <v>0</v>
      </c>
      <c r="C25" s="779">
        <v>0</v>
      </c>
      <c r="D25" s="780"/>
      <c r="E25" s="225"/>
      <c r="F25" s="43"/>
    </row>
    <row r="26" spans="1:6" ht="15.75" x14ac:dyDescent="0.2">
      <c r="A26" s="221" t="s">
        <v>294</v>
      </c>
      <c r="B26" s="518">
        <v>0</v>
      </c>
      <c r="C26" s="779">
        <v>0</v>
      </c>
      <c r="D26" s="780"/>
      <c r="E26" s="225"/>
      <c r="F26" s="43"/>
    </row>
    <row r="27" spans="1:6" ht="15.75" x14ac:dyDescent="0.2">
      <c r="A27" s="229" t="s">
        <v>295</v>
      </c>
      <c r="B27" s="518">
        <v>0</v>
      </c>
      <c r="C27" s="779">
        <v>0</v>
      </c>
      <c r="D27" s="780"/>
      <c r="E27" s="225"/>
      <c r="F27" s="43"/>
    </row>
    <row r="28" spans="1:6" ht="15.75" x14ac:dyDescent="0.2">
      <c r="A28" s="232" t="s">
        <v>290</v>
      </c>
      <c r="B28" s="518">
        <v>0</v>
      </c>
      <c r="C28" s="779">
        <v>0</v>
      </c>
      <c r="D28" s="780"/>
      <c r="E28" s="225"/>
      <c r="F28" s="43"/>
    </row>
    <row r="29" spans="1:6" ht="15.75" x14ac:dyDescent="0.2">
      <c r="A29" s="221" t="s">
        <v>296</v>
      </c>
      <c r="B29" s="518">
        <v>0</v>
      </c>
      <c r="C29" s="779">
        <v>0</v>
      </c>
      <c r="D29" s="780"/>
      <c r="E29" s="225"/>
      <c r="F29" s="43"/>
    </row>
    <row r="30" spans="1:6" ht="15.75" x14ac:dyDescent="0.25">
      <c r="A30" s="221" t="s">
        <v>282</v>
      </c>
      <c r="B30" s="3">
        <v>0</v>
      </c>
      <c r="C30" s="782">
        <v>0</v>
      </c>
      <c r="D30" s="783"/>
      <c r="E30" s="225"/>
      <c r="F30" s="43"/>
    </row>
    <row r="31" spans="1:6" ht="15.75" x14ac:dyDescent="0.25">
      <c r="A31" s="229" t="s">
        <v>297</v>
      </c>
      <c r="B31" s="3">
        <v>0</v>
      </c>
      <c r="C31" s="782">
        <v>0</v>
      </c>
      <c r="D31" s="783"/>
      <c r="E31" s="225"/>
      <c r="F31" s="43"/>
    </row>
    <row r="32" spans="1:6" ht="15.75" x14ac:dyDescent="0.2">
      <c r="A32" s="221" t="s">
        <v>283</v>
      </c>
      <c r="B32" s="518">
        <v>0</v>
      </c>
      <c r="C32" s="779">
        <v>0</v>
      </c>
      <c r="D32" s="780"/>
      <c r="E32" s="225"/>
      <c r="F32" s="43"/>
    </row>
    <row r="33" spans="1:6" ht="15.75" x14ac:dyDescent="0.2">
      <c r="A33" s="221" t="s">
        <v>298</v>
      </c>
      <c r="B33" s="518">
        <v>0</v>
      </c>
      <c r="C33" s="779">
        <v>0</v>
      </c>
      <c r="D33" s="780"/>
      <c r="E33" s="225"/>
      <c r="F33" s="43"/>
    </row>
    <row r="34" spans="1:6" ht="15.75" x14ac:dyDescent="0.2">
      <c r="A34" s="221" t="s">
        <v>281</v>
      </c>
      <c r="B34" s="518">
        <v>0</v>
      </c>
      <c r="C34" s="779">
        <v>0</v>
      </c>
      <c r="D34" s="780"/>
      <c r="E34" s="225"/>
      <c r="F34" s="43"/>
    </row>
    <row r="35" spans="1:6" ht="15.75" x14ac:dyDescent="0.2">
      <c r="A35" s="230" t="s">
        <v>299</v>
      </c>
      <c r="B35" s="518">
        <v>0</v>
      </c>
      <c r="C35" s="779">
        <v>0</v>
      </c>
      <c r="D35" s="780"/>
      <c r="E35" s="225"/>
      <c r="F35" s="43"/>
    </row>
    <row r="36" spans="1:6" ht="30" x14ac:dyDescent="0.2">
      <c r="A36" s="221" t="s">
        <v>269</v>
      </c>
      <c r="B36" s="518">
        <v>0</v>
      </c>
      <c r="C36" s="779">
        <v>0</v>
      </c>
      <c r="D36" s="780"/>
      <c r="E36" s="225"/>
      <c r="F36" s="43"/>
    </row>
    <row r="37" spans="1:6" ht="15.75" x14ac:dyDescent="0.2">
      <c r="A37" s="221" t="s">
        <v>286</v>
      </c>
      <c r="B37" s="518">
        <v>0</v>
      </c>
      <c r="C37" s="779">
        <v>0</v>
      </c>
      <c r="D37" s="780"/>
      <c r="E37" s="225"/>
      <c r="F37" s="43"/>
    </row>
    <row r="38" spans="1:6" ht="15.75" x14ac:dyDescent="0.2">
      <c r="A38" s="230" t="s">
        <v>300</v>
      </c>
      <c r="B38" s="518">
        <v>0</v>
      </c>
      <c r="C38" s="779">
        <v>0</v>
      </c>
      <c r="D38" s="780"/>
      <c r="E38" s="225"/>
      <c r="F38" s="43"/>
    </row>
    <row r="39" spans="1:6" ht="15.75" x14ac:dyDescent="0.2">
      <c r="A39" s="221" t="s">
        <v>270</v>
      </c>
      <c r="B39" s="518">
        <v>1</v>
      </c>
      <c r="C39" s="779">
        <v>0</v>
      </c>
      <c r="D39" s="780"/>
      <c r="E39" s="225"/>
      <c r="F39" s="43"/>
    </row>
    <row r="40" spans="1:6" ht="15.75" x14ac:dyDescent="0.25">
      <c r="A40" s="221" t="s">
        <v>274</v>
      </c>
      <c r="B40" s="3">
        <v>0</v>
      </c>
      <c r="C40" s="782">
        <v>0</v>
      </c>
      <c r="D40" s="783"/>
      <c r="E40" s="206"/>
      <c r="F40" s="43"/>
    </row>
    <row r="41" spans="1:6" ht="15.75" x14ac:dyDescent="0.2">
      <c r="A41" s="230" t="s">
        <v>301</v>
      </c>
      <c r="B41" s="518">
        <v>0</v>
      </c>
      <c r="C41" s="779">
        <v>0</v>
      </c>
      <c r="D41" s="780"/>
      <c r="E41" s="7"/>
      <c r="F41" s="43"/>
    </row>
    <row r="42" spans="1:6" ht="38.25" customHeight="1" x14ac:dyDescent="0.2">
      <c r="A42" s="221" t="s">
        <v>275</v>
      </c>
      <c r="B42" s="518">
        <v>0</v>
      </c>
      <c r="C42" s="779">
        <v>0</v>
      </c>
      <c r="D42" s="780"/>
      <c r="E42" s="7"/>
      <c r="F42" s="43"/>
    </row>
    <row r="43" spans="1:6" ht="30.75" customHeight="1" x14ac:dyDescent="0.2">
      <c r="A43" s="221" t="s">
        <v>276</v>
      </c>
      <c r="B43" s="518">
        <v>0</v>
      </c>
      <c r="C43" s="779">
        <v>0</v>
      </c>
      <c r="D43" s="780"/>
      <c r="E43" s="7"/>
      <c r="F43" s="43"/>
    </row>
    <row r="44" spans="1:6" ht="36.950000000000003" customHeight="1" x14ac:dyDescent="0.2">
      <c r="A44" s="221" t="s">
        <v>277</v>
      </c>
      <c r="B44" s="518">
        <v>0</v>
      </c>
      <c r="C44" s="779">
        <v>0</v>
      </c>
      <c r="D44" s="780"/>
      <c r="E44" s="7"/>
      <c r="F44" s="43"/>
    </row>
    <row r="45" spans="1:6" ht="30" x14ac:dyDescent="0.2">
      <c r="A45" s="221" t="s">
        <v>278</v>
      </c>
      <c r="B45" s="518">
        <v>0</v>
      </c>
      <c r="C45" s="779">
        <v>0</v>
      </c>
      <c r="D45" s="780"/>
      <c r="E45" s="7"/>
      <c r="F45" s="43"/>
    </row>
    <row r="46" spans="1:6" ht="30" x14ac:dyDescent="0.2">
      <c r="A46" s="221" t="s">
        <v>279</v>
      </c>
      <c r="B46" s="518">
        <v>0</v>
      </c>
      <c r="C46" s="779">
        <v>0</v>
      </c>
      <c r="D46" s="780"/>
      <c r="E46" s="7"/>
      <c r="F46" s="43"/>
    </row>
    <row r="47" spans="1:6" ht="30" x14ac:dyDescent="0.2">
      <c r="A47" s="221" t="s">
        <v>280</v>
      </c>
      <c r="B47" s="518">
        <v>0</v>
      </c>
      <c r="C47" s="779">
        <v>0</v>
      </c>
      <c r="D47" s="780"/>
      <c r="E47" s="7"/>
      <c r="F47" s="43"/>
    </row>
    <row r="48" spans="1:6" ht="30" x14ac:dyDescent="0.2">
      <c r="A48" s="221" t="s">
        <v>272</v>
      </c>
      <c r="B48" s="518">
        <v>0</v>
      </c>
      <c r="C48" s="779">
        <v>0</v>
      </c>
      <c r="D48" s="780"/>
      <c r="E48" s="206"/>
      <c r="F48" s="43"/>
    </row>
    <row r="49" spans="1:9" ht="30" x14ac:dyDescent="0.25">
      <c r="A49" s="221" t="s">
        <v>273</v>
      </c>
      <c r="B49" s="3">
        <v>0</v>
      </c>
      <c r="C49" s="782">
        <v>0</v>
      </c>
      <c r="D49" s="783"/>
      <c r="E49" s="7"/>
      <c r="F49" s="43"/>
    </row>
    <row r="50" spans="1:9" ht="15.75" x14ac:dyDescent="0.25">
      <c r="A50" s="4" t="s">
        <v>27</v>
      </c>
      <c r="B50" s="600">
        <f>SUM(B20:B49)</f>
        <v>2</v>
      </c>
      <c r="C50" s="791">
        <v>0</v>
      </c>
      <c r="D50" s="792"/>
      <c r="E50" s="7"/>
      <c r="F50" s="43"/>
    </row>
    <row r="51" spans="1:9" ht="15" x14ac:dyDescent="0.25">
      <c r="A51" s="777"/>
      <c r="B51" s="777"/>
      <c r="C51" s="777"/>
      <c r="D51" s="777"/>
      <c r="E51" s="7"/>
    </row>
    <row r="52" spans="1:9" ht="15" x14ac:dyDescent="0.25">
      <c r="A52" s="777" t="s">
        <v>316</v>
      </c>
      <c r="B52" s="777"/>
      <c r="C52" s="777"/>
      <c r="D52" s="777"/>
      <c r="E52" s="777"/>
      <c r="F52" s="777"/>
      <c r="G52" s="777"/>
      <c r="H52" s="777"/>
    </row>
    <row r="53" spans="1:9" ht="15" x14ac:dyDescent="0.25">
      <c r="A53" s="777" t="s">
        <v>313</v>
      </c>
      <c r="B53" s="777"/>
      <c r="C53" s="777"/>
      <c r="D53" s="777"/>
      <c r="E53" s="777"/>
      <c r="F53" s="777"/>
      <c r="G53" s="777"/>
      <c r="H53" s="777"/>
    </row>
    <row r="54" spans="1:9" ht="15" x14ac:dyDescent="0.25">
      <c r="A54" s="777" t="s">
        <v>31</v>
      </c>
      <c r="B54" s="777"/>
      <c r="C54" s="777"/>
      <c r="D54" s="777"/>
      <c r="E54" s="777"/>
      <c r="F54" s="777"/>
      <c r="G54" s="777"/>
      <c r="H54" s="777"/>
    </row>
    <row r="55" spans="1:9" ht="15" x14ac:dyDescent="0.25">
      <c r="A55" s="52"/>
      <c r="B55" s="52"/>
      <c r="C55" s="53"/>
      <c r="D55" s="53"/>
      <c r="E55" s="53"/>
      <c r="F55" s="52"/>
      <c r="G55" s="52"/>
      <c r="H55" s="52"/>
    </row>
    <row r="56" spans="1:9" ht="21" customHeight="1" x14ac:dyDescent="0.25">
      <c r="A56" s="777"/>
      <c r="B56" s="777"/>
      <c r="C56" s="777"/>
      <c r="D56" s="777"/>
      <c r="E56" s="777"/>
      <c r="F56" s="777"/>
      <c r="G56" s="777"/>
      <c r="H56" s="777"/>
    </row>
    <row r="57" spans="1:9" ht="18" customHeight="1" x14ac:dyDescent="0.2">
      <c r="A57" s="781" t="s">
        <v>312</v>
      </c>
      <c r="B57" s="781"/>
      <c r="C57" s="781"/>
      <c r="D57" s="781"/>
      <c r="E57" s="781"/>
      <c r="F57" s="781"/>
      <c r="G57" s="781"/>
      <c r="H57" s="781"/>
      <c r="I57" s="781"/>
    </row>
    <row r="58" spans="1:9" ht="15" x14ac:dyDescent="0.25">
      <c r="A58" s="777" t="s">
        <v>154</v>
      </c>
      <c r="B58" s="777"/>
      <c r="C58" s="777"/>
      <c r="D58" s="777"/>
      <c r="E58" s="759"/>
      <c r="F58" s="777"/>
      <c r="G58" s="777"/>
      <c r="H58" s="777"/>
    </row>
    <row r="59" spans="1:9" ht="15" x14ac:dyDescent="0.25">
      <c r="A59" s="777"/>
      <c r="B59" s="777"/>
      <c r="C59" s="777"/>
      <c r="D59" s="777"/>
      <c r="E59" s="759"/>
      <c r="F59" s="777"/>
      <c r="G59" s="777"/>
      <c r="H59" s="777"/>
    </row>
    <row r="61" spans="1:9" ht="15.75" x14ac:dyDescent="0.25">
      <c r="A61" s="767" t="s">
        <v>461</v>
      </c>
      <c r="B61" s="767"/>
    </row>
  </sheetData>
  <customSheetViews>
    <customSheetView guid="{EB9C9A86-B58A-443D-8E32-0F9B9A284E4A}" scale="75" topLeftCell="A13">
      <selection activeCell="A45" sqref="A45:D45"/>
      <pageMargins left="0.94488188976377963" right="0.55118110236220474" top="0.98425196850393704" bottom="0.98425196850393704" header="0.51181102362204722" footer="0.51181102362204722"/>
      <pageSetup paperSize="9" scale="60" orientation="portrait" r:id="rId1"/>
      <headerFooter alignWithMargins="0"/>
    </customSheetView>
  </customSheetViews>
  <mergeCells count="62">
    <mergeCell ref="C31:D31"/>
    <mergeCell ref="C37:D37"/>
    <mergeCell ref="C38:D38"/>
    <mergeCell ref="C39:D39"/>
    <mergeCell ref="C32:D32"/>
    <mergeCell ref="C33:D33"/>
    <mergeCell ref="C34:D34"/>
    <mergeCell ref="C35:D35"/>
    <mergeCell ref="C36:D36"/>
    <mergeCell ref="C27:D27"/>
    <mergeCell ref="C28:D28"/>
    <mergeCell ref="C29:D29"/>
    <mergeCell ref="C30:D30"/>
    <mergeCell ref="C26:D26"/>
    <mergeCell ref="C2:D2"/>
    <mergeCell ref="C20:D20"/>
    <mergeCell ref="C21:D21"/>
    <mergeCell ref="C22:D22"/>
    <mergeCell ref="C23:D23"/>
    <mergeCell ref="A4:D4"/>
    <mergeCell ref="A3:D3"/>
    <mergeCell ref="A15:D15"/>
    <mergeCell ref="A5:D5"/>
    <mergeCell ref="A6:D6"/>
    <mergeCell ref="A7:D7"/>
    <mergeCell ref="A8:D8"/>
    <mergeCell ref="A9:D9"/>
    <mergeCell ref="A10:D10"/>
    <mergeCell ref="A11:D11"/>
    <mergeCell ref="A12:D14"/>
    <mergeCell ref="E12:E14"/>
    <mergeCell ref="A16:A18"/>
    <mergeCell ref="B16:B18"/>
    <mergeCell ref="A54:H54"/>
    <mergeCell ref="C19:D19"/>
    <mergeCell ref="C16:D18"/>
    <mergeCell ref="C41:D41"/>
    <mergeCell ref="C42:D42"/>
    <mergeCell ref="C43:D43"/>
    <mergeCell ref="C50:D50"/>
    <mergeCell ref="C44:D44"/>
    <mergeCell ref="C46:D46"/>
    <mergeCell ref="C45:D45"/>
    <mergeCell ref="C49:D49"/>
    <mergeCell ref="A52:H52"/>
    <mergeCell ref="C24:D24"/>
    <mergeCell ref="A51:D51"/>
    <mergeCell ref="E17:E18"/>
    <mergeCell ref="C48:D48"/>
    <mergeCell ref="A61:B61"/>
    <mergeCell ref="A56:H56"/>
    <mergeCell ref="H58:H59"/>
    <mergeCell ref="A59:D59"/>
    <mergeCell ref="A58:D58"/>
    <mergeCell ref="E58:E59"/>
    <mergeCell ref="F58:F59"/>
    <mergeCell ref="G58:G59"/>
    <mergeCell ref="A57:I57"/>
    <mergeCell ref="C40:D40"/>
    <mergeCell ref="C47:D47"/>
    <mergeCell ref="C25:D25"/>
    <mergeCell ref="A53:H53"/>
  </mergeCells>
  <phoneticPr fontId="4" type="noConversion"/>
  <pageMargins left="0.94488188976377963" right="0.55118110236220474" top="0.98425196850393704" bottom="0.98425196850393704" header="0.51181102362204722" footer="0.51181102362204722"/>
  <pageSetup paperSize="9" scale="55"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0"/>
  <sheetViews>
    <sheetView topLeftCell="B7" zoomScale="80" zoomScaleNormal="80" workbookViewId="0">
      <selection activeCell="F31" sqref="F31:I31"/>
    </sheetView>
  </sheetViews>
  <sheetFormatPr defaultColWidth="9.140625" defaultRowHeight="12.75" x14ac:dyDescent="0.2"/>
  <cols>
    <col min="1" max="1" width="8.85546875" style="2" customWidth="1"/>
    <col min="2" max="2" width="13.85546875" style="2" customWidth="1"/>
    <col min="3" max="3" width="9.140625" style="2"/>
    <col min="4" max="4" width="25.42578125" style="2" customWidth="1"/>
    <col min="5" max="5" width="48.5703125" style="2" customWidth="1"/>
    <col min="6" max="6" width="11.85546875" style="2" customWidth="1"/>
    <col min="7" max="7" width="20" style="2" customWidth="1"/>
    <col min="8" max="8" width="9.140625" style="2"/>
    <col min="9" max="9" width="21.28515625" style="2" customWidth="1"/>
    <col min="10" max="10" width="14.42578125" style="2" customWidth="1"/>
    <col min="11" max="16384" width="9.140625" style="2"/>
  </cols>
  <sheetData>
    <row r="1" spans="1:10" ht="12.95" customHeight="1" x14ac:dyDescent="0.2">
      <c r="A1" s="88"/>
      <c r="B1" s="88"/>
      <c r="C1" s="88"/>
      <c r="D1" s="88"/>
      <c r="E1" s="88"/>
      <c r="F1" s="88"/>
      <c r="G1" s="88"/>
      <c r="H1" s="88"/>
      <c r="I1" s="88"/>
    </row>
    <row r="2" spans="1:10" ht="15" customHeight="1" x14ac:dyDescent="0.2">
      <c r="A2" s="89"/>
      <c r="B2" s="89"/>
      <c r="C2" s="90"/>
      <c r="D2" s="91"/>
      <c r="E2" s="91"/>
      <c r="F2" s="91"/>
      <c r="G2" s="92"/>
      <c r="H2" s="92"/>
      <c r="I2" s="93" t="s">
        <v>28</v>
      </c>
    </row>
    <row r="3" spans="1:10" ht="22.7" customHeight="1" x14ac:dyDescent="0.2">
      <c r="A3" s="89"/>
      <c r="B3" s="89"/>
      <c r="C3" s="90"/>
      <c r="D3" s="91"/>
      <c r="E3" s="91"/>
      <c r="F3" s="91"/>
      <c r="G3" s="823" t="s">
        <v>446</v>
      </c>
      <c r="H3" s="823"/>
      <c r="I3" s="823"/>
    </row>
    <row r="4" spans="1:10" ht="67.900000000000006" customHeight="1" x14ac:dyDescent="0.2">
      <c r="A4" s="89"/>
      <c r="B4" s="89"/>
      <c r="C4" s="94"/>
      <c r="D4" s="95"/>
      <c r="E4" s="95"/>
      <c r="F4" s="95"/>
      <c r="G4" s="823"/>
      <c r="H4" s="823"/>
      <c r="I4" s="823"/>
    </row>
    <row r="5" spans="1:10" ht="18.75" x14ac:dyDescent="0.2">
      <c r="A5" s="824" t="s">
        <v>17</v>
      </c>
      <c r="B5" s="824"/>
      <c r="C5" s="824"/>
      <c r="D5" s="824"/>
      <c r="E5" s="824"/>
      <c r="F5" s="824"/>
      <c r="G5" s="824"/>
      <c r="H5" s="824"/>
      <c r="I5" s="824"/>
    </row>
    <row r="6" spans="1:10" ht="18.75" x14ac:dyDescent="0.2">
      <c r="A6" s="824" t="s">
        <v>24</v>
      </c>
      <c r="B6" s="824"/>
      <c r="C6" s="824"/>
      <c r="D6" s="824"/>
      <c r="E6" s="824"/>
      <c r="F6" s="824"/>
      <c r="G6" s="824"/>
      <c r="H6" s="824"/>
      <c r="I6" s="824"/>
    </row>
    <row r="7" spans="1:10" ht="30.75" customHeight="1" x14ac:dyDescent="0.2">
      <c r="A7" s="825" t="s">
        <v>145</v>
      </c>
      <c r="B7" s="825"/>
      <c r="C7" s="825"/>
      <c r="D7" s="825"/>
      <c r="E7" s="825"/>
      <c r="F7" s="825"/>
      <c r="G7" s="825"/>
      <c r="H7" s="825"/>
      <c r="I7" s="825"/>
    </row>
    <row r="8" spans="1:10" ht="18.75" x14ac:dyDescent="0.2">
      <c r="A8" s="824" t="s">
        <v>25</v>
      </c>
      <c r="B8" s="824"/>
      <c r="C8" s="824"/>
      <c r="D8" s="824"/>
      <c r="E8" s="824"/>
      <c r="F8" s="824"/>
      <c r="G8" s="824"/>
      <c r="H8" s="824"/>
      <c r="I8" s="824"/>
    </row>
    <row r="9" spans="1:10" ht="18.75" x14ac:dyDescent="0.2">
      <c r="A9" s="824" t="s">
        <v>146</v>
      </c>
      <c r="B9" s="824"/>
      <c r="C9" s="824"/>
      <c r="D9" s="824"/>
      <c r="E9" s="824"/>
      <c r="F9" s="824"/>
      <c r="G9" s="824"/>
      <c r="H9" s="824"/>
      <c r="I9" s="824"/>
    </row>
    <row r="10" spans="1:10" ht="18.75" x14ac:dyDescent="0.2">
      <c r="A10" s="824" t="s">
        <v>447</v>
      </c>
      <c r="B10" s="824"/>
      <c r="C10" s="824"/>
      <c r="D10" s="824"/>
      <c r="E10" s="824"/>
      <c r="F10" s="824"/>
      <c r="G10" s="824"/>
      <c r="H10" s="824"/>
      <c r="I10" s="824"/>
    </row>
    <row r="11" spans="1:10" ht="7.5" customHeight="1" x14ac:dyDescent="0.2">
      <c r="A11" s="824"/>
      <c r="B11" s="824"/>
      <c r="C11" s="824"/>
      <c r="D11" s="824"/>
      <c r="E11" s="824"/>
      <c r="F11" s="824"/>
      <c r="G11" s="824"/>
      <c r="H11" s="824"/>
      <c r="I11" s="824"/>
    </row>
    <row r="12" spans="1:10" ht="3.75" customHeight="1" x14ac:dyDescent="0.2">
      <c r="A12" s="81"/>
      <c r="B12" s="96"/>
      <c r="C12" s="96"/>
      <c r="D12" s="96"/>
      <c r="E12" s="96"/>
      <c r="F12" s="81"/>
      <c r="G12" s="97"/>
      <c r="H12" s="98"/>
      <c r="I12" s="98"/>
    </row>
    <row r="13" spans="1:10" ht="3.75" customHeight="1" x14ac:dyDescent="0.2">
      <c r="A13" s="81" t="s">
        <v>106</v>
      </c>
      <c r="B13" s="81"/>
      <c r="C13" s="81"/>
      <c r="D13" s="81"/>
      <c r="E13" s="81"/>
      <c r="F13" s="81"/>
      <c r="G13" s="81"/>
      <c r="H13" s="810"/>
      <c r="I13" s="810"/>
    </row>
    <row r="14" spans="1:10" ht="0.75" hidden="1" customHeight="1" x14ac:dyDescent="0.2">
      <c r="A14" s="81"/>
      <c r="B14" s="81"/>
      <c r="C14" s="81"/>
      <c r="D14" s="81"/>
      <c r="E14" s="81"/>
      <c r="F14" s="81"/>
      <c r="G14" s="81"/>
      <c r="H14" s="81"/>
      <c r="I14" s="98"/>
    </row>
    <row r="15" spans="1:10" ht="6.75" customHeight="1" x14ac:dyDescent="0.2">
      <c r="A15" s="81"/>
      <c r="B15" s="81"/>
      <c r="C15" s="81"/>
      <c r="D15" s="81"/>
      <c r="E15" s="81"/>
      <c r="F15" s="81"/>
      <c r="G15" s="81"/>
      <c r="H15" s="81"/>
      <c r="I15" s="98"/>
    </row>
    <row r="16" spans="1:10" ht="45.2" customHeight="1" x14ac:dyDescent="0.2">
      <c r="A16" s="822" t="s">
        <v>199</v>
      </c>
      <c r="B16" s="822"/>
      <c r="C16" s="822"/>
      <c r="D16" s="822"/>
      <c r="E16" s="826" t="s">
        <v>432</v>
      </c>
      <c r="F16" s="828" t="s">
        <v>147</v>
      </c>
      <c r="G16" s="829"/>
      <c r="H16" s="829"/>
      <c r="I16" s="830"/>
      <c r="J16" s="99"/>
    </row>
    <row r="17" spans="1:10" ht="57" customHeight="1" x14ac:dyDescent="0.2">
      <c r="A17" s="822"/>
      <c r="B17" s="822"/>
      <c r="C17" s="822"/>
      <c r="D17" s="822"/>
      <c r="E17" s="827"/>
      <c r="F17" s="831"/>
      <c r="G17" s="832"/>
      <c r="H17" s="832"/>
      <c r="I17" s="833"/>
      <c r="J17" s="99"/>
    </row>
    <row r="18" spans="1:10" ht="15" x14ac:dyDescent="0.2">
      <c r="A18" s="665">
        <v>1</v>
      </c>
      <c r="B18" s="666"/>
      <c r="C18" s="666"/>
      <c r="D18" s="667"/>
      <c r="E18" s="100">
        <v>2</v>
      </c>
      <c r="F18" s="807">
        <v>3</v>
      </c>
      <c r="G18" s="807"/>
      <c r="H18" s="807"/>
      <c r="I18" s="807"/>
      <c r="J18" s="99"/>
    </row>
    <row r="19" spans="1:10" ht="36" customHeight="1" x14ac:dyDescent="0.2">
      <c r="A19" s="812" t="s">
        <v>268</v>
      </c>
      <c r="B19" s="813"/>
      <c r="C19" s="813"/>
      <c r="D19" s="814"/>
      <c r="E19" s="414">
        <v>80</v>
      </c>
      <c r="F19" s="804">
        <v>0</v>
      </c>
      <c r="G19" s="805"/>
      <c r="H19" s="805"/>
      <c r="I19" s="806"/>
      <c r="J19" s="99"/>
    </row>
    <row r="20" spans="1:10" ht="38.25" customHeight="1" x14ac:dyDescent="0.2">
      <c r="A20" s="801" t="s">
        <v>292</v>
      </c>
      <c r="B20" s="802"/>
      <c r="C20" s="802"/>
      <c r="D20" s="803"/>
      <c r="E20" s="414">
        <v>158.69999999999999</v>
      </c>
      <c r="F20" s="804">
        <v>0</v>
      </c>
      <c r="G20" s="805"/>
      <c r="H20" s="805"/>
      <c r="I20" s="806"/>
      <c r="J20" s="99"/>
    </row>
    <row r="21" spans="1:10" ht="31.5" customHeight="1" x14ac:dyDescent="0.2">
      <c r="A21" s="802" t="s">
        <v>291</v>
      </c>
      <c r="B21" s="802"/>
      <c r="C21" s="802"/>
      <c r="D21" s="803"/>
      <c r="E21" s="414">
        <v>0</v>
      </c>
      <c r="F21" s="804">
        <v>0</v>
      </c>
      <c r="G21" s="805"/>
      <c r="H21" s="805"/>
      <c r="I21" s="806"/>
      <c r="J21" s="99"/>
    </row>
    <row r="22" spans="1:10" ht="36.75" customHeight="1" x14ac:dyDescent="0.2">
      <c r="A22" s="812" t="s">
        <v>271</v>
      </c>
      <c r="B22" s="813"/>
      <c r="C22" s="813"/>
      <c r="D22" s="814"/>
      <c r="E22" s="414">
        <v>4367.3</v>
      </c>
      <c r="F22" s="804">
        <v>0</v>
      </c>
      <c r="G22" s="805"/>
      <c r="H22" s="805"/>
      <c r="I22" s="806"/>
      <c r="J22" s="99"/>
    </row>
    <row r="23" spans="1:10" ht="36.75" customHeight="1" x14ac:dyDescent="0.2">
      <c r="A23" s="801" t="s">
        <v>320</v>
      </c>
      <c r="B23" s="802"/>
      <c r="C23" s="802"/>
      <c r="D23" s="803"/>
      <c r="E23" s="414">
        <v>0</v>
      </c>
      <c r="F23" s="804">
        <v>0</v>
      </c>
      <c r="G23" s="805"/>
      <c r="H23" s="805"/>
      <c r="I23" s="806"/>
      <c r="J23" s="99"/>
    </row>
    <row r="24" spans="1:10" ht="15" x14ac:dyDescent="0.2">
      <c r="A24" s="834" t="s">
        <v>293</v>
      </c>
      <c r="B24" s="834"/>
      <c r="C24" s="834"/>
      <c r="D24" s="835"/>
      <c r="E24" s="414">
        <v>0</v>
      </c>
      <c r="F24" s="804">
        <v>0</v>
      </c>
      <c r="G24" s="805"/>
      <c r="H24" s="805"/>
      <c r="I24" s="806"/>
      <c r="J24" s="99"/>
    </row>
    <row r="25" spans="1:10" ht="30" customHeight="1" x14ac:dyDescent="0.2">
      <c r="A25" s="812" t="s">
        <v>294</v>
      </c>
      <c r="B25" s="813"/>
      <c r="C25" s="813"/>
      <c r="D25" s="814"/>
      <c r="E25" s="414">
        <v>0</v>
      </c>
      <c r="F25" s="804">
        <v>0</v>
      </c>
      <c r="G25" s="805"/>
      <c r="H25" s="805"/>
      <c r="I25" s="806"/>
      <c r="J25" s="99"/>
    </row>
    <row r="26" spans="1:10" ht="15" x14ac:dyDescent="0.2">
      <c r="A26" s="834" t="s">
        <v>295</v>
      </c>
      <c r="B26" s="834"/>
      <c r="C26" s="834"/>
      <c r="D26" s="835"/>
      <c r="E26" s="414">
        <v>88.67</v>
      </c>
      <c r="F26" s="804">
        <v>0</v>
      </c>
      <c r="G26" s="805"/>
      <c r="H26" s="805"/>
      <c r="I26" s="806"/>
      <c r="J26" s="99"/>
    </row>
    <row r="27" spans="1:10" ht="15" x14ac:dyDescent="0.2">
      <c r="A27" s="836" t="s">
        <v>290</v>
      </c>
      <c r="B27" s="834"/>
      <c r="C27" s="834"/>
      <c r="D27" s="835"/>
      <c r="E27" s="414">
        <v>0</v>
      </c>
      <c r="F27" s="804">
        <v>0</v>
      </c>
      <c r="G27" s="805"/>
      <c r="H27" s="805"/>
      <c r="I27" s="806"/>
      <c r="J27" s="99"/>
    </row>
    <row r="28" spans="1:10" ht="18" customHeight="1" x14ac:dyDescent="0.2">
      <c r="A28" s="812" t="s">
        <v>296</v>
      </c>
      <c r="B28" s="813"/>
      <c r="C28" s="813"/>
      <c r="D28" s="814"/>
      <c r="E28" s="414">
        <v>0</v>
      </c>
      <c r="F28" s="804">
        <v>0</v>
      </c>
      <c r="G28" s="805"/>
      <c r="H28" s="805"/>
      <c r="I28" s="806"/>
      <c r="J28" s="99"/>
    </row>
    <row r="29" spans="1:10" ht="44.25" customHeight="1" x14ac:dyDescent="0.2">
      <c r="A29" s="812" t="s">
        <v>282</v>
      </c>
      <c r="B29" s="813"/>
      <c r="C29" s="813"/>
      <c r="D29" s="814"/>
      <c r="E29" s="414">
        <v>0</v>
      </c>
      <c r="F29" s="804">
        <v>0</v>
      </c>
      <c r="G29" s="805"/>
      <c r="H29" s="805"/>
      <c r="I29" s="806"/>
      <c r="J29" s="99"/>
    </row>
    <row r="30" spans="1:10" ht="15" x14ac:dyDescent="0.2">
      <c r="A30" s="834" t="s">
        <v>297</v>
      </c>
      <c r="B30" s="834"/>
      <c r="C30" s="834"/>
      <c r="D30" s="835"/>
      <c r="E30" s="414">
        <v>73.19</v>
      </c>
      <c r="F30" s="804">
        <v>0</v>
      </c>
      <c r="G30" s="805"/>
      <c r="H30" s="805"/>
      <c r="I30" s="806"/>
      <c r="J30" s="99"/>
    </row>
    <row r="31" spans="1:10" ht="30" customHeight="1" x14ac:dyDescent="0.2">
      <c r="A31" s="812" t="s">
        <v>283</v>
      </c>
      <c r="B31" s="813"/>
      <c r="C31" s="813"/>
      <c r="D31" s="814"/>
      <c r="E31" s="414"/>
      <c r="F31" s="804">
        <v>0</v>
      </c>
      <c r="G31" s="805"/>
      <c r="H31" s="805"/>
      <c r="I31" s="806"/>
      <c r="J31" s="99"/>
    </row>
    <row r="32" spans="1:10" ht="24.75" customHeight="1" x14ac:dyDescent="0.2">
      <c r="A32" s="812" t="s">
        <v>298</v>
      </c>
      <c r="B32" s="813"/>
      <c r="C32" s="813"/>
      <c r="D32" s="814"/>
      <c r="E32" s="414">
        <v>98.97</v>
      </c>
      <c r="F32" s="804">
        <v>0</v>
      </c>
      <c r="G32" s="805"/>
      <c r="H32" s="805"/>
      <c r="I32" s="806"/>
      <c r="J32" s="99"/>
    </row>
    <row r="33" spans="1:11" ht="42.75" customHeight="1" x14ac:dyDescent="0.2">
      <c r="A33" s="812" t="s">
        <v>281</v>
      </c>
      <c r="B33" s="813"/>
      <c r="C33" s="813"/>
      <c r="D33" s="814"/>
      <c r="E33" s="414">
        <v>0</v>
      </c>
      <c r="F33" s="804">
        <v>0</v>
      </c>
      <c r="G33" s="805"/>
      <c r="H33" s="805"/>
      <c r="I33" s="806"/>
      <c r="J33" s="99"/>
    </row>
    <row r="34" spans="1:11" ht="50.25" customHeight="1" x14ac:dyDescent="0.2">
      <c r="A34" s="802" t="s">
        <v>299</v>
      </c>
      <c r="B34" s="802"/>
      <c r="C34" s="802"/>
      <c r="D34" s="803"/>
      <c r="E34" s="414">
        <v>0</v>
      </c>
      <c r="F34" s="804">
        <v>0</v>
      </c>
      <c r="G34" s="805"/>
      <c r="H34" s="805"/>
      <c r="I34" s="806"/>
      <c r="J34" s="99"/>
    </row>
    <row r="35" spans="1:11" ht="45" customHeight="1" x14ac:dyDescent="0.2">
      <c r="A35" s="812" t="s">
        <v>269</v>
      </c>
      <c r="B35" s="813"/>
      <c r="C35" s="813"/>
      <c r="D35" s="814"/>
      <c r="E35" s="414">
        <v>0</v>
      </c>
      <c r="F35" s="804">
        <v>0</v>
      </c>
      <c r="G35" s="805"/>
      <c r="H35" s="805"/>
      <c r="I35" s="806"/>
      <c r="J35" s="99"/>
    </row>
    <row r="36" spans="1:11" ht="35.25" customHeight="1" x14ac:dyDescent="0.2">
      <c r="A36" s="812" t="s">
        <v>286</v>
      </c>
      <c r="B36" s="813"/>
      <c r="C36" s="813"/>
      <c r="D36" s="814"/>
      <c r="E36" s="414">
        <v>0</v>
      </c>
      <c r="F36" s="804">
        <v>0</v>
      </c>
      <c r="G36" s="805"/>
      <c r="H36" s="805"/>
      <c r="I36" s="806"/>
      <c r="J36" s="99"/>
    </row>
    <row r="37" spans="1:11" ht="33" customHeight="1" x14ac:dyDescent="0.2">
      <c r="A37" s="802" t="s">
        <v>300</v>
      </c>
      <c r="B37" s="802"/>
      <c r="C37" s="802"/>
      <c r="D37" s="803"/>
      <c r="E37" s="414">
        <v>0</v>
      </c>
      <c r="F37" s="804">
        <v>0</v>
      </c>
      <c r="G37" s="805"/>
      <c r="H37" s="805"/>
      <c r="I37" s="806"/>
      <c r="J37" s="99"/>
    </row>
    <row r="38" spans="1:11" ht="37.5" customHeight="1" x14ac:dyDescent="0.2">
      <c r="A38" s="812" t="s">
        <v>270</v>
      </c>
      <c r="B38" s="813"/>
      <c r="C38" s="813"/>
      <c r="D38" s="814"/>
      <c r="E38" s="414">
        <v>56942.47</v>
      </c>
      <c r="F38" s="804">
        <v>0</v>
      </c>
      <c r="G38" s="805"/>
      <c r="H38" s="805"/>
      <c r="I38" s="806"/>
      <c r="J38" s="99"/>
    </row>
    <row r="39" spans="1:11" ht="15.75" customHeight="1" x14ac:dyDescent="0.2">
      <c r="A39" s="812" t="s">
        <v>274</v>
      </c>
      <c r="B39" s="813"/>
      <c r="C39" s="813"/>
      <c r="D39" s="814"/>
      <c r="E39" s="414">
        <v>0</v>
      </c>
      <c r="F39" s="804">
        <v>0</v>
      </c>
      <c r="G39" s="805"/>
      <c r="H39" s="805"/>
      <c r="I39" s="806"/>
      <c r="J39" s="99"/>
    </row>
    <row r="40" spans="1:11" ht="15.75" customHeight="1" x14ac:dyDescent="0.2">
      <c r="A40" s="802" t="s">
        <v>301</v>
      </c>
      <c r="B40" s="802"/>
      <c r="C40" s="802"/>
      <c r="D40" s="803"/>
      <c r="E40" s="414">
        <v>0</v>
      </c>
      <c r="F40" s="821">
        <v>0</v>
      </c>
      <c r="G40" s="821"/>
      <c r="H40" s="821"/>
      <c r="I40" s="821"/>
      <c r="J40" s="101">
        <f>E40+F40</f>
        <v>0</v>
      </c>
      <c r="K40" s="99"/>
    </row>
    <row r="41" spans="1:11" ht="24.75" customHeight="1" x14ac:dyDescent="0.2">
      <c r="A41" s="812" t="s">
        <v>275</v>
      </c>
      <c r="B41" s="813"/>
      <c r="C41" s="813"/>
      <c r="D41" s="814"/>
      <c r="E41" s="601">
        <v>18954.2</v>
      </c>
      <c r="F41" s="817">
        <v>0</v>
      </c>
      <c r="G41" s="817"/>
      <c r="H41" s="817"/>
      <c r="I41" s="817"/>
      <c r="J41" s="101">
        <f t="shared" ref="J41:J48" si="0">E41+F41</f>
        <v>18954.2</v>
      </c>
      <c r="K41" s="99"/>
    </row>
    <row r="42" spans="1:11" ht="30" customHeight="1" x14ac:dyDescent="0.2">
      <c r="A42" s="812" t="s">
        <v>276</v>
      </c>
      <c r="B42" s="813"/>
      <c r="C42" s="813"/>
      <c r="D42" s="814"/>
      <c r="E42" s="601">
        <v>0</v>
      </c>
      <c r="F42" s="818">
        <v>0</v>
      </c>
      <c r="G42" s="819"/>
      <c r="H42" s="819"/>
      <c r="I42" s="820"/>
      <c r="J42" s="101">
        <f t="shared" si="0"/>
        <v>0</v>
      </c>
      <c r="K42" s="99"/>
    </row>
    <row r="43" spans="1:11" ht="32.450000000000003" customHeight="1" x14ac:dyDescent="0.2">
      <c r="A43" s="812" t="s">
        <v>277</v>
      </c>
      <c r="B43" s="813"/>
      <c r="C43" s="813"/>
      <c r="D43" s="814"/>
      <c r="E43" s="601">
        <v>0</v>
      </c>
      <c r="F43" s="817">
        <v>0</v>
      </c>
      <c r="G43" s="817"/>
      <c r="H43" s="817"/>
      <c r="I43" s="817"/>
      <c r="J43" s="101">
        <f t="shared" si="0"/>
        <v>0</v>
      </c>
      <c r="K43" s="99"/>
    </row>
    <row r="44" spans="1:11" ht="30.6" customHeight="1" x14ac:dyDescent="0.2">
      <c r="A44" s="812" t="s">
        <v>278</v>
      </c>
      <c r="B44" s="813"/>
      <c r="C44" s="813"/>
      <c r="D44" s="814"/>
      <c r="E44" s="525">
        <v>87.09</v>
      </c>
      <c r="F44" s="815">
        <v>0</v>
      </c>
      <c r="G44" s="815"/>
      <c r="H44" s="815"/>
      <c r="I44" s="815"/>
      <c r="J44" s="101">
        <f t="shared" si="0"/>
        <v>87.09</v>
      </c>
      <c r="K44" s="99"/>
    </row>
    <row r="45" spans="1:11" ht="36.75" customHeight="1" x14ac:dyDescent="0.2">
      <c r="A45" s="812" t="s">
        <v>279</v>
      </c>
      <c r="B45" s="813"/>
      <c r="C45" s="813"/>
      <c r="D45" s="814"/>
      <c r="E45" s="440">
        <v>0</v>
      </c>
      <c r="F45" s="815">
        <v>0</v>
      </c>
      <c r="G45" s="815"/>
      <c r="H45" s="815"/>
      <c r="I45" s="815"/>
      <c r="J45" s="101">
        <f t="shared" si="0"/>
        <v>0</v>
      </c>
      <c r="K45" s="99"/>
    </row>
    <row r="46" spans="1:11" ht="36.75" customHeight="1" x14ac:dyDescent="0.2">
      <c r="A46" s="812" t="s">
        <v>280</v>
      </c>
      <c r="B46" s="813"/>
      <c r="C46" s="813"/>
      <c r="D46" s="814"/>
      <c r="E46" s="414">
        <v>0</v>
      </c>
      <c r="F46" s="817">
        <v>0</v>
      </c>
      <c r="G46" s="817"/>
      <c r="H46" s="817"/>
      <c r="I46" s="817"/>
      <c r="J46" s="101">
        <f t="shared" si="0"/>
        <v>0</v>
      </c>
      <c r="K46" s="99"/>
    </row>
    <row r="47" spans="1:11" ht="32.25" customHeight="1" x14ac:dyDescent="0.2">
      <c r="A47" s="812" t="s">
        <v>272</v>
      </c>
      <c r="B47" s="813"/>
      <c r="C47" s="813"/>
      <c r="D47" s="814"/>
      <c r="E47" s="414">
        <v>0</v>
      </c>
      <c r="F47" s="818">
        <v>0</v>
      </c>
      <c r="G47" s="819"/>
      <c r="H47" s="819"/>
      <c r="I47" s="820"/>
      <c r="J47" s="101">
        <f t="shared" si="0"/>
        <v>0</v>
      </c>
      <c r="K47" s="99"/>
    </row>
    <row r="48" spans="1:11" ht="39" customHeight="1" x14ac:dyDescent="0.2">
      <c r="A48" s="812" t="s">
        <v>273</v>
      </c>
      <c r="B48" s="813"/>
      <c r="C48" s="813"/>
      <c r="D48" s="814"/>
      <c r="E48" s="440">
        <v>0</v>
      </c>
      <c r="F48" s="817">
        <v>0</v>
      </c>
      <c r="G48" s="817"/>
      <c r="H48" s="817"/>
      <c r="I48" s="817"/>
      <c r="J48" s="101">
        <f t="shared" si="0"/>
        <v>0</v>
      </c>
      <c r="K48" s="99"/>
    </row>
    <row r="49" spans="1:11" ht="15" x14ac:dyDescent="0.2">
      <c r="A49" s="102"/>
      <c r="B49" s="102"/>
      <c r="C49" s="807" t="s">
        <v>27</v>
      </c>
      <c r="D49" s="807"/>
      <c r="E49" s="522">
        <f>SUM(E19:E48)</f>
        <v>80850.59</v>
      </c>
      <c r="F49" s="808">
        <f>SUM(F40:I48)</f>
        <v>0</v>
      </c>
      <c r="G49" s="808"/>
      <c r="H49" s="808"/>
      <c r="I49" s="808"/>
      <c r="J49" s="103">
        <f>SUM(J40:J48)</f>
        <v>19041.29</v>
      </c>
      <c r="K49" s="99"/>
    </row>
    <row r="50" spans="1:11" ht="15" x14ac:dyDescent="0.2">
      <c r="A50" s="81"/>
      <c r="B50" s="81"/>
      <c r="C50" s="81"/>
      <c r="D50" s="81"/>
      <c r="E50" s="81"/>
      <c r="F50" s="81"/>
      <c r="G50" s="81"/>
      <c r="H50" s="81"/>
      <c r="I50" s="81"/>
    </row>
    <row r="51" spans="1:11" ht="0.75" customHeight="1" x14ac:dyDescent="0.2">
      <c r="A51" s="81"/>
      <c r="B51" s="81"/>
      <c r="C51" s="81"/>
      <c r="D51" s="81"/>
      <c r="E51" s="81"/>
      <c r="F51" s="81"/>
      <c r="G51" s="81"/>
      <c r="H51" s="81"/>
      <c r="I51" s="81"/>
    </row>
    <row r="52" spans="1:11" ht="15" x14ac:dyDescent="0.2">
      <c r="A52" s="81"/>
      <c r="B52" s="81"/>
      <c r="C52" s="81"/>
      <c r="D52" s="81"/>
      <c r="E52" s="81"/>
      <c r="F52" s="81"/>
      <c r="G52" s="81"/>
      <c r="H52" s="81"/>
      <c r="I52" s="81"/>
    </row>
    <row r="53" spans="1:11" ht="15" x14ac:dyDescent="0.2">
      <c r="A53" s="781" t="s">
        <v>316</v>
      </c>
      <c r="B53" s="781"/>
      <c r="C53" s="781"/>
      <c r="D53" s="781"/>
      <c r="E53" s="781"/>
      <c r="F53" s="781"/>
      <c r="G53" s="781"/>
      <c r="H53" s="781"/>
      <c r="I53" s="781"/>
    </row>
    <row r="54" spans="1:11" ht="15" x14ac:dyDescent="0.2">
      <c r="A54" s="781" t="s">
        <v>315</v>
      </c>
      <c r="B54" s="781"/>
      <c r="C54" s="781"/>
      <c r="D54" s="781"/>
      <c r="E54" s="781"/>
      <c r="F54" s="781"/>
      <c r="G54" s="781"/>
      <c r="H54" s="781"/>
      <c r="I54" s="781"/>
    </row>
    <row r="55" spans="1:11" ht="20.25" customHeight="1" x14ac:dyDescent="0.2">
      <c r="A55" s="816" t="s">
        <v>41</v>
      </c>
      <c r="B55" s="816"/>
      <c r="C55" s="816"/>
      <c r="D55" s="816"/>
      <c r="E55" s="816"/>
      <c r="F55" s="816"/>
      <c r="G55" s="816"/>
      <c r="H55" s="816"/>
      <c r="I55" s="816"/>
    </row>
    <row r="56" spans="1:11" ht="15" x14ac:dyDescent="0.2">
      <c r="A56" s="81"/>
      <c r="B56" s="81"/>
      <c r="C56" s="98"/>
      <c r="D56" s="98"/>
      <c r="E56" s="98"/>
      <c r="F56" s="98"/>
      <c r="G56" s="81"/>
      <c r="H56" s="81"/>
      <c r="I56" s="81"/>
    </row>
    <row r="57" spans="1:11" ht="15" x14ac:dyDescent="0.2">
      <c r="A57" s="781" t="s">
        <v>314</v>
      </c>
      <c r="B57" s="781"/>
      <c r="C57" s="781"/>
      <c r="D57" s="781"/>
      <c r="E57" s="781"/>
      <c r="F57" s="781"/>
      <c r="G57" s="781"/>
      <c r="H57" s="781"/>
      <c r="I57" s="781"/>
    </row>
    <row r="58" spans="1:11" x14ac:dyDescent="0.2">
      <c r="A58" s="809" t="s">
        <v>189</v>
      </c>
      <c r="B58" s="809"/>
      <c r="C58" s="809"/>
      <c r="D58" s="809"/>
      <c r="E58" s="809"/>
      <c r="F58" s="809"/>
      <c r="G58" s="809"/>
      <c r="H58" s="809"/>
      <c r="I58" s="809"/>
    </row>
    <row r="59" spans="1:11" ht="15" x14ac:dyDescent="0.2">
      <c r="A59" s="781"/>
      <c r="B59" s="781"/>
      <c r="C59" s="781"/>
      <c r="D59" s="781"/>
      <c r="E59" s="81"/>
      <c r="F59" s="810"/>
      <c r="G59" s="811"/>
      <c r="H59" s="781"/>
      <c r="I59" s="781"/>
    </row>
    <row r="60" spans="1:11" ht="5.25" customHeight="1" x14ac:dyDescent="0.2">
      <c r="A60" s="781"/>
      <c r="B60" s="781"/>
      <c r="C60" s="781"/>
      <c r="D60" s="781"/>
      <c r="E60" s="81"/>
      <c r="F60" s="810"/>
      <c r="G60" s="811"/>
      <c r="H60" s="781"/>
      <c r="I60" s="781"/>
    </row>
    <row r="61" spans="1:11" ht="8.25" customHeight="1" x14ac:dyDescent="0.2">
      <c r="A61" s="81"/>
      <c r="B61" s="81"/>
      <c r="C61" s="81"/>
      <c r="D61" s="81"/>
      <c r="E61" s="81"/>
      <c r="F61" s="81"/>
      <c r="G61" s="81"/>
      <c r="H61" s="81"/>
      <c r="I61" s="81"/>
    </row>
    <row r="62" spans="1:11" ht="16.5" customHeight="1" x14ac:dyDescent="0.25">
      <c r="A62" s="777" t="s">
        <v>460</v>
      </c>
      <c r="B62" s="777"/>
    </row>
    <row r="63" spans="1:11" ht="2.25" customHeight="1" x14ac:dyDescent="0.2"/>
    <row r="64" spans="1:11" ht="1.5" customHeight="1" x14ac:dyDescent="0.2"/>
    <row r="65" spans="5:10" ht="6" customHeight="1" x14ac:dyDescent="0.2"/>
    <row r="66" spans="5:10" ht="5.25" customHeight="1" x14ac:dyDescent="0.2"/>
    <row r="67" spans="5:10" ht="5.25" customHeight="1" x14ac:dyDescent="0.2"/>
    <row r="68" spans="5:10" ht="68.25" customHeight="1" x14ac:dyDescent="0.2">
      <c r="E68" s="2" t="s">
        <v>433</v>
      </c>
      <c r="H68" s="837" t="s">
        <v>534</v>
      </c>
      <c r="I68" s="838"/>
      <c r="J68" s="839"/>
    </row>
    <row r="69" spans="5:10" ht="46.15" customHeight="1" x14ac:dyDescent="0.2">
      <c r="E69" s="44" t="s">
        <v>168</v>
      </c>
      <c r="F69" s="44" t="s">
        <v>532</v>
      </c>
      <c r="G69" s="44" t="s">
        <v>169</v>
      </c>
      <c r="H69" s="227" t="s">
        <v>308</v>
      </c>
      <c r="I69" s="226" t="s">
        <v>317</v>
      </c>
      <c r="J69" s="44" t="s">
        <v>318</v>
      </c>
    </row>
    <row r="70" spans="5:10" ht="18.75" customHeight="1" x14ac:dyDescent="0.2">
      <c r="E70" s="221">
        <v>557</v>
      </c>
      <c r="F70" s="245">
        <f t="shared" ref="F70:F99" si="1">E19+F19</f>
        <v>80</v>
      </c>
      <c r="G70" s="105">
        <f>'приложение 3'!S18</f>
        <v>102149.8</v>
      </c>
      <c r="H70" s="106">
        <f t="shared" ref="H70:H80" si="2">F70/G70*100</f>
        <v>7.8316355000205576E-2</v>
      </c>
      <c r="I70" s="205" t="s">
        <v>170</v>
      </c>
      <c r="J70" s="106">
        <f t="shared" ref="J70:J80" si="3">1-(H70/2)</f>
        <v>0.96084182249989725</v>
      </c>
    </row>
    <row r="71" spans="5:10" ht="18" customHeight="1" x14ac:dyDescent="0.2">
      <c r="E71" s="221">
        <v>559</v>
      </c>
      <c r="F71" s="245">
        <f t="shared" si="1"/>
        <v>158.69999999999999</v>
      </c>
      <c r="G71" s="105">
        <f>'приложение 3'!S19</f>
        <v>12418.7</v>
      </c>
      <c r="H71" s="106">
        <f t="shared" si="2"/>
        <v>1.277911536634269</v>
      </c>
      <c r="I71" s="205" t="s">
        <v>170</v>
      </c>
      <c r="J71" s="106">
        <f t="shared" si="3"/>
        <v>0.36104423168286548</v>
      </c>
    </row>
    <row r="72" spans="5:10" ht="18.75" customHeight="1" x14ac:dyDescent="0.2">
      <c r="E72" s="221">
        <v>560</v>
      </c>
      <c r="F72" s="245">
        <f t="shared" si="1"/>
        <v>0</v>
      </c>
      <c r="G72" s="105">
        <f>'приложение 3'!S20</f>
        <v>237274.1</v>
      </c>
      <c r="H72" s="106">
        <f t="shared" si="2"/>
        <v>0</v>
      </c>
      <c r="I72" s="205" t="s">
        <v>170</v>
      </c>
      <c r="J72" s="106">
        <f t="shared" si="3"/>
        <v>1</v>
      </c>
    </row>
    <row r="73" spans="5:10" ht="16.5" customHeight="1" x14ac:dyDescent="0.2">
      <c r="E73" s="221">
        <v>601</v>
      </c>
      <c r="F73" s="245">
        <f t="shared" si="1"/>
        <v>4367.3</v>
      </c>
      <c r="G73" s="105">
        <f>'приложение 3'!S21</f>
        <v>152015.1</v>
      </c>
      <c r="H73" s="106">
        <f t="shared" si="2"/>
        <v>2.8729382804734529</v>
      </c>
      <c r="I73" s="501" t="s">
        <v>332</v>
      </c>
      <c r="J73" s="106">
        <v>0</v>
      </c>
    </row>
    <row r="74" spans="5:10" ht="16.5" customHeight="1" x14ac:dyDescent="0.2">
      <c r="E74" s="221">
        <v>602</v>
      </c>
      <c r="F74" s="245">
        <f t="shared" si="1"/>
        <v>0</v>
      </c>
      <c r="G74" s="105">
        <f>'приложение 3'!S22</f>
        <v>2280.4</v>
      </c>
      <c r="H74" s="106">
        <f t="shared" si="2"/>
        <v>0</v>
      </c>
      <c r="I74" s="205" t="s">
        <v>170</v>
      </c>
      <c r="J74" s="106">
        <f t="shared" si="3"/>
        <v>1</v>
      </c>
    </row>
    <row r="75" spans="5:10" ht="17.25" customHeight="1" x14ac:dyDescent="0.2">
      <c r="E75" s="221">
        <v>603</v>
      </c>
      <c r="F75" s="245">
        <f t="shared" si="1"/>
        <v>0</v>
      </c>
      <c r="G75" s="105">
        <f>'приложение 3'!S23</f>
        <v>16614</v>
      </c>
      <c r="H75" s="106">
        <f t="shared" si="2"/>
        <v>0</v>
      </c>
      <c r="I75" s="205" t="s">
        <v>170</v>
      </c>
      <c r="J75" s="106">
        <f t="shared" si="3"/>
        <v>1</v>
      </c>
    </row>
    <row r="76" spans="5:10" ht="16.5" customHeight="1" x14ac:dyDescent="0.2">
      <c r="E76" s="221">
        <v>604</v>
      </c>
      <c r="F76" s="245">
        <f t="shared" si="1"/>
        <v>0</v>
      </c>
      <c r="G76" s="105">
        <f>'приложение 3'!S24</f>
        <v>4693.8999999999996</v>
      </c>
      <c r="H76" s="106">
        <f t="shared" si="2"/>
        <v>0</v>
      </c>
      <c r="I76" s="205" t="s">
        <v>170</v>
      </c>
      <c r="J76" s="106">
        <f t="shared" si="3"/>
        <v>1</v>
      </c>
    </row>
    <row r="77" spans="5:10" ht="21" customHeight="1" x14ac:dyDescent="0.2">
      <c r="E77" s="221">
        <v>605</v>
      </c>
      <c r="F77" s="245">
        <f t="shared" si="1"/>
        <v>88.67</v>
      </c>
      <c r="G77" s="105">
        <f>'приложение 3'!S25</f>
        <v>65510.1</v>
      </c>
      <c r="H77" s="106">
        <f t="shared" si="2"/>
        <v>0.13535317454865739</v>
      </c>
      <c r="I77" s="205" t="s">
        <v>170</v>
      </c>
      <c r="J77" s="106">
        <f t="shared" si="3"/>
        <v>0.93232341272567132</v>
      </c>
    </row>
    <row r="78" spans="5:10" ht="21" customHeight="1" x14ac:dyDescent="0.2">
      <c r="E78" s="221">
        <v>606</v>
      </c>
      <c r="F78" s="245">
        <f t="shared" si="1"/>
        <v>0</v>
      </c>
      <c r="G78" s="105">
        <f>'приложение 3'!S26</f>
        <v>9475.7999999999993</v>
      </c>
      <c r="H78" s="106">
        <f t="shared" si="2"/>
        <v>0</v>
      </c>
      <c r="I78" s="205" t="s">
        <v>170</v>
      </c>
      <c r="J78" s="106">
        <f t="shared" si="3"/>
        <v>1</v>
      </c>
    </row>
    <row r="79" spans="5:10" ht="18" customHeight="1" x14ac:dyDescent="0.2">
      <c r="E79" s="221">
        <v>608</v>
      </c>
      <c r="F79" s="245">
        <f t="shared" si="1"/>
        <v>0</v>
      </c>
      <c r="G79" s="105">
        <f>'приложение 3'!S27</f>
        <v>23096.2</v>
      </c>
      <c r="H79" s="106">
        <f t="shared" si="2"/>
        <v>0</v>
      </c>
      <c r="I79" s="205" t="s">
        <v>170</v>
      </c>
      <c r="J79" s="106">
        <f t="shared" si="3"/>
        <v>1</v>
      </c>
    </row>
    <row r="80" spans="5:10" ht="17.25" customHeight="1" x14ac:dyDescent="0.2">
      <c r="E80" s="221">
        <v>685</v>
      </c>
      <c r="F80" s="245">
        <f t="shared" si="1"/>
        <v>0</v>
      </c>
      <c r="G80" s="105">
        <f>'приложение 3'!S28</f>
        <v>8612.7000000000007</v>
      </c>
      <c r="H80" s="106">
        <f t="shared" si="2"/>
        <v>0</v>
      </c>
      <c r="I80" s="205" t="s">
        <v>170</v>
      </c>
      <c r="J80" s="106">
        <f t="shared" si="3"/>
        <v>1</v>
      </c>
    </row>
    <row r="81" spans="5:10" ht="13.5" customHeight="1" x14ac:dyDescent="0.2">
      <c r="E81" s="221">
        <v>686</v>
      </c>
      <c r="F81" s="245">
        <f t="shared" si="1"/>
        <v>73.19</v>
      </c>
      <c r="G81" s="105">
        <f>'приложение 3'!S29</f>
        <v>380471.1</v>
      </c>
      <c r="H81" s="106">
        <f t="shared" ref="H81:H90" si="4">F81/G81*100</f>
        <v>1.9236677897480257E-2</v>
      </c>
      <c r="I81" s="205" t="s">
        <v>170</v>
      </c>
      <c r="J81" s="106">
        <f t="shared" ref="J81:J99" si="5">1-(H81/2)</f>
        <v>0.99038166105125991</v>
      </c>
    </row>
    <row r="82" spans="5:10" ht="13.5" customHeight="1" x14ac:dyDescent="0.2">
      <c r="E82" s="221">
        <v>688</v>
      </c>
      <c r="F82" s="245">
        <f t="shared" si="1"/>
        <v>0</v>
      </c>
      <c r="G82" s="105">
        <f>'приложение 3'!S30</f>
        <v>34953.5</v>
      </c>
      <c r="H82" s="106">
        <f t="shared" si="4"/>
        <v>0</v>
      </c>
      <c r="I82" s="205" t="s">
        <v>170</v>
      </c>
      <c r="J82" s="106">
        <f t="shared" si="5"/>
        <v>1</v>
      </c>
    </row>
    <row r="83" spans="5:10" ht="13.5" customHeight="1" x14ac:dyDescent="0.2">
      <c r="E83" s="311">
        <v>691</v>
      </c>
      <c r="F83" s="245">
        <f t="shared" si="1"/>
        <v>98.97</v>
      </c>
      <c r="G83" s="105">
        <f>'приложение 3'!S10+'приложение 3.1.'!C18</f>
        <v>79617.600000000006</v>
      </c>
      <c r="H83" s="106">
        <f t="shared" si="4"/>
        <v>0.12430668595888344</v>
      </c>
      <c r="I83" s="205" t="s">
        <v>170</v>
      </c>
      <c r="J83" s="106">
        <f t="shared" si="5"/>
        <v>0.93784665702055825</v>
      </c>
    </row>
    <row r="84" spans="5:10" ht="13.5" customHeight="1" x14ac:dyDescent="0.2">
      <c r="E84" s="221">
        <v>692</v>
      </c>
      <c r="F84" s="245">
        <f t="shared" si="1"/>
        <v>0</v>
      </c>
      <c r="G84" s="105">
        <f>'приложение 3'!S32</f>
        <v>36994.6</v>
      </c>
      <c r="H84" s="106">
        <f t="shared" si="4"/>
        <v>0</v>
      </c>
      <c r="I84" s="205" t="s">
        <v>170</v>
      </c>
      <c r="J84" s="106">
        <f t="shared" si="5"/>
        <v>1</v>
      </c>
    </row>
    <row r="85" spans="5:10" ht="13.5" customHeight="1" x14ac:dyDescent="0.2">
      <c r="E85" s="221">
        <v>696</v>
      </c>
      <c r="F85" s="245">
        <f t="shared" si="1"/>
        <v>0</v>
      </c>
      <c r="G85" s="105">
        <f>'приложение 3'!S33+'приложение 3.1.'!C19</f>
        <v>336020.8</v>
      </c>
      <c r="H85" s="106">
        <f t="shared" si="4"/>
        <v>0</v>
      </c>
      <c r="I85" s="205" t="s">
        <v>170</v>
      </c>
      <c r="J85" s="106">
        <f t="shared" si="5"/>
        <v>1</v>
      </c>
    </row>
    <row r="86" spans="5:10" ht="13.5" customHeight="1" x14ac:dyDescent="0.2">
      <c r="E86" s="311">
        <v>697</v>
      </c>
      <c r="F86" s="245">
        <f t="shared" si="1"/>
        <v>0</v>
      </c>
      <c r="G86" s="105">
        <f>'приложение 3'!S34</f>
        <v>129971</v>
      </c>
      <c r="H86" s="106">
        <f t="shared" si="4"/>
        <v>0</v>
      </c>
      <c r="I86" s="205" t="s">
        <v>170</v>
      </c>
      <c r="J86" s="106">
        <f t="shared" si="5"/>
        <v>1</v>
      </c>
    </row>
    <row r="87" spans="5:10" ht="13.5" customHeight="1" x14ac:dyDescent="0.2">
      <c r="E87" s="221">
        <v>698</v>
      </c>
      <c r="F87" s="245">
        <f t="shared" si="1"/>
        <v>0</v>
      </c>
      <c r="G87" s="105">
        <f>'приложение 3'!S35</f>
        <v>5502.9</v>
      </c>
      <c r="H87" s="106">
        <f t="shared" si="4"/>
        <v>0</v>
      </c>
      <c r="I87" s="205" t="s">
        <v>170</v>
      </c>
      <c r="J87" s="106">
        <f t="shared" si="5"/>
        <v>1</v>
      </c>
    </row>
    <row r="88" spans="5:10" ht="13.5" customHeight="1" x14ac:dyDescent="0.2">
      <c r="E88" s="221">
        <v>699</v>
      </c>
      <c r="F88" s="245">
        <f t="shared" si="1"/>
        <v>0</v>
      </c>
      <c r="G88" s="105">
        <f>'приложение 3'!S36</f>
        <v>54724</v>
      </c>
      <c r="H88" s="106">
        <f t="shared" si="4"/>
        <v>0</v>
      </c>
      <c r="I88" s="205" t="s">
        <v>170</v>
      </c>
      <c r="J88" s="106">
        <f t="shared" si="5"/>
        <v>1</v>
      </c>
    </row>
    <row r="89" spans="5:10" ht="13.5" customHeight="1" x14ac:dyDescent="0.2">
      <c r="E89" s="221">
        <v>700</v>
      </c>
      <c r="F89" s="245">
        <f t="shared" si="1"/>
        <v>56942.47</v>
      </c>
      <c r="G89" s="105">
        <f>'приложение 3'!S37</f>
        <v>21278.1</v>
      </c>
      <c r="H89" s="106">
        <f t="shared" si="4"/>
        <v>267.61068892429307</v>
      </c>
      <c r="I89" s="501" t="s">
        <v>332</v>
      </c>
      <c r="J89" s="106">
        <v>0</v>
      </c>
    </row>
    <row r="90" spans="5:10" ht="13.5" customHeight="1" x14ac:dyDescent="0.2">
      <c r="E90" s="221">
        <v>701</v>
      </c>
      <c r="F90" s="245">
        <f t="shared" si="1"/>
        <v>0</v>
      </c>
      <c r="G90" s="105">
        <f>'приложение 3'!S38</f>
        <v>2643.4</v>
      </c>
      <c r="H90" s="106">
        <f t="shared" si="4"/>
        <v>0</v>
      </c>
      <c r="I90" s="205" t="s">
        <v>170</v>
      </c>
      <c r="J90" s="106">
        <f>1-(H90/2)</f>
        <v>1</v>
      </c>
    </row>
    <row r="91" spans="5:10" ht="15" x14ac:dyDescent="0.2">
      <c r="E91" s="221">
        <v>702</v>
      </c>
      <c r="F91" s="245">
        <f t="shared" si="1"/>
        <v>0</v>
      </c>
      <c r="G91" s="105">
        <f>'приложение 3'!S39</f>
        <v>5793</v>
      </c>
      <c r="H91" s="106">
        <f>F91/G91*100</f>
        <v>0</v>
      </c>
      <c r="I91" s="205" t="s">
        <v>170</v>
      </c>
      <c r="J91" s="106">
        <f>1-(H91/2)</f>
        <v>1</v>
      </c>
    </row>
    <row r="92" spans="5:10" ht="15" x14ac:dyDescent="0.2">
      <c r="E92" s="221">
        <v>705</v>
      </c>
      <c r="F92" s="245">
        <f t="shared" si="1"/>
        <v>18954.2</v>
      </c>
      <c r="G92" s="105">
        <f>'приложение 3'!S40</f>
        <v>132476.5</v>
      </c>
      <c r="H92" s="106">
        <f>F92/G92*100</f>
        <v>14.307594177080462</v>
      </c>
      <c r="I92" s="501" t="s">
        <v>332</v>
      </c>
      <c r="J92" s="106">
        <v>0</v>
      </c>
    </row>
    <row r="93" spans="5:10" ht="15" x14ac:dyDescent="0.2">
      <c r="E93" s="221">
        <v>820</v>
      </c>
      <c r="F93" s="245">
        <f t="shared" si="1"/>
        <v>0</v>
      </c>
      <c r="G93" s="105">
        <f>'приложение 3'!S41</f>
        <v>4438.8999999999996</v>
      </c>
      <c r="H93" s="106">
        <f t="shared" ref="H93:H100" si="6">F93/G93*100</f>
        <v>0</v>
      </c>
      <c r="I93" s="205" t="s">
        <v>170</v>
      </c>
      <c r="J93" s="106">
        <f>1-(H93/2)</f>
        <v>1</v>
      </c>
    </row>
    <row r="94" spans="5:10" ht="15" x14ac:dyDescent="0.2">
      <c r="E94" s="221">
        <v>830</v>
      </c>
      <c r="F94" s="245">
        <f t="shared" si="1"/>
        <v>0</v>
      </c>
      <c r="G94" s="105">
        <f>'приложение 3'!S42</f>
        <v>4634.8999999999996</v>
      </c>
      <c r="H94" s="106">
        <f t="shared" si="6"/>
        <v>0</v>
      </c>
      <c r="I94" s="205" t="s">
        <v>170</v>
      </c>
      <c r="J94" s="106">
        <f t="shared" si="5"/>
        <v>1</v>
      </c>
    </row>
    <row r="95" spans="5:10" ht="15" x14ac:dyDescent="0.2">
      <c r="E95" s="221">
        <v>840</v>
      </c>
      <c r="F95" s="245">
        <f t="shared" si="1"/>
        <v>87.09</v>
      </c>
      <c r="G95" s="105">
        <f>'приложение 3'!S43</f>
        <v>6393.8</v>
      </c>
      <c r="H95" s="106">
        <f t="shared" si="6"/>
        <v>1.3621007851356</v>
      </c>
      <c r="I95" s="205" t="s">
        <v>170</v>
      </c>
      <c r="J95" s="106">
        <f t="shared" si="5"/>
        <v>0.31894960743220002</v>
      </c>
    </row>
    <row r="96" spans="5:10" ht="15" x14ac:dyDescent="0.2">
      <c r="E96" s="221">
        <v>850</v>
      </c>
      <c r="F96" s="245">
        <f t="shared" si="1"/>
        <v>0</v>
      </c>
      <c r="G96" s="105">
        <f>'приложение 3'!S44</f>
        <v>4274.6000000000004</v>
      </c>
      <c r="H96" s="106">
        <f t="shared" si="6"/>
        <v>0</v>
      </c>
      <c r="I96" s="205" t="s">
        <v>170</v>
      </c>
      <c r="J96" s="106">
        <f t="shared" si="5"/>
        <v>1</v>
      </c>
    </row>
    <row r="97" spans="5:10" ht="15" x14ac:dyDescent="0.2">
      <c r="E97" s="221">
        <v>860</v>
      </c>
      <c r="F97" s="245">
        <f t="shared" si="1"/>
        <v>0</v>
      </c>
      <c r="G97" s="105">
        <f>'приложение 3'!S45</f>
        <v>15118.5</v>
      </c>
      <c r="H97" s="106">
        <f t="shared" si="6"/>
        <v>0</v>
      </c>
      <c r="I97" s="205" t="s">
        <v>170</v>
      </c>
      <c r="J97" s="106">
        <f t="shared" si="5"/>
        <v>1</v>
      </c>
    </row>
    <row r="98" spans="5:10" ht="15" x14ac:dyDescent="0.2">
      <c r="E98" s="221">
        <v>870</v>
      </c>
      <c r="F98" s="245">
        <f t="shared" si="1"/>
        <v>0</v>
      </c>
      <c r="G98" s="105">
        <f>'приложение 3'!S46</f>
        <v>6786.1</v>
      </c>
      <c r="H98" s="106">
        <f t="shared" si="6"/>
        <v>0</v>
      </c>
      <c r="I98" s="205" t="s">
        <v>170</v>
      </c>
      <c r="J98" s="106">
        <f>1-(H98/2)</f>
        <v>1</v>
      </c>
    </row>
    <row r="99" spans="5:10" ht="15" x14ac:dyDescent="0.2">
      <c r="E99" s="221">
        <v>880</v>
      </c>
      <c r="F99" s="245">
        <f t="shared" si="1"/>
        <v>0</v>
      </c>
      <c r="G99" s="105">
        <f>'приложение 3'!S47</f>
        <v>17336.5</v>
      </c>
      <c r="H99" s="106">
        <f t="shared" si="6"/>
        <v>0</v>
      </c>
      <c r="I99" s="205" t="s">
        <v>170</v>
      </c>
      <c r="J99" s="106">
        <f t="shared" si="5"/>
        <v>1</v>
      </c>
    </row>
    <row r="100" spans="5:10" x14ac:dyDescent="0.2">
      <c r="E100" s="104" t="s">
        <v>171</v>
      </c>
      <c r="F100" s="107">
        <f>SUM(F70:F99)</f>
        <v>80850.59</v>
      </c>
      <c r="G100" s="105">
        <f>SUM(G81:G99)</f>
        <v>1279429.8</v>
      </c>
      <c r="H100" s="106">
        <f t="shared" si="6"/>
        <v>6.3192673798906345</v>
      </c>
      <c r="I100" s="501" t="s">
        <v>332</v>
      </c>
      <c r="J100" s="106">
        <v>0</v>
      </c>
    </row>
  </sheetData>
  <customSheetViews>
    <customSheetView guid="{EB9C9A86-B58A-443D-8E32-0F9B9A284E4A}" scale="75" fitToPage="1" topLeftCell="A16">
      <selection activeCell="D46" sqref="D46"/>
      <pageMargins left="0.75" right="0.75" top="1" bottom="1" header="0.5" footer="0.5"/>
      <pageSetup paperSize="9" scale="74" fitToHeight="0" orientation="portrait" r:id="rId1"/>
      <headerFooter alignWithMargins="0"/>
    </customSheetView>
  </customSheetViews>
  <mergeCells count="89">
    <mergeCell ref="H68:J68"/>
    <mergeCell ref="F35:I35"/>
    <mergeCell ref="F36:I36"/>
    <mergeCell ref="F37:I37"/>
    <mergeCell ref="F38:I38"/>
    <mergeCell ref="F44:I44"/>
    <mergeCell ref="F30:I30"/>
    <mergeCell ref="F31:I31"/>
    <mergeCell ref="F32:I32"/>
    <mergeCell ref="F33:I33"/>
    <mergeCell ref="F34:I34"/>
    <mergeCell ref="F25:I25"/>
    <mergeCell ref="F26:I26"/>
    <mergeCell ref="F27:I27"/>
    <mergeCell ref="F28:I28"/>
    <mergeCell ref="F29:I29"/>
    <mergeCell ref="F19:I19"/>
    <mergeCell ref="F20:I20"/>
    <mergeCell ref="F21:I21"/>
    <mergeCell ref="F22:I22"/>
    <mergeCell ref="F24:I24"/>
    <mergeCell ref="A34:D34"/>
    <mergeCell ref="A35:D35"/>
    <mergeCell ref="A36:D36"/>
    <mergeCell ref="A37:D37"/>
    <mergeCell ref="A38:D38"/>
    <mergeCell ref="A29:D29"/>
    <mergeCell ref="A30:D30"/>
    <mergeCell ref="A31:D31"/>
    <mergeCell ref="A32:D32"/>
    <mergeCell ref="A33:D33"/>
    <mergeCell ref="A24:D24"/>
    <mergeCell ref="A25:D25"/>
    <mergeCell ref="A26:D26"/>
    <mergeCell ref="A27:D27"/>
    <mergeCell ref="A28:D28"/>
    <mergeCell ref="H13:I13"/>
    <mergeCell ref="A16:D17"/>
    <mergeCell ref="G3:I4"/>
    <mergeCell ref="A10:I10"/>
    <mergeCell ref="A11:I11"/>
    <mergeCell ref="A8:I8"/>
    <mergeCell ref="A9:I9"/>
    <mergeCell ref="A5:I5"/>
    <mergeCell ref="A6:I6"/>
    <mergeCell ref="A7:I7"/>
    <mergeCell ref="E16:E17"/>
    <mergeCell ref="F16:I17"/>
    <mergeCell ref="A41:D41"/>
    <mergeCell ref="F41:I41"/>
    <mergeCell ref="A43:D43"/>
    <mergeCell ref="F43:I43"/>
    <mergeCell ref="A18:D18"/>
    <mergeCell ref="F18:I18"/>
    <mergeCell ref="A40:D40"/>
    <mergeCell ref="F40:I40"/>
    <mergeCell ref="F42:I42"/>
    <mergeCell ref="A42:D42"/>
    <mergeCell ref="A39:D39"/>
    <mergeCell ref="F39:I39"/>
    <mergeCell ref="A19:D19"/>
    <mergeCell ref="A20:D20"/>
    <mergeCell ref="A21:D21"/>
    <mergeCell ref="A22:D22"/>
    <mergeCell ref="A45:D45"/>
    <mergeCell ref="F45:I45"/>
    <mergeCell ref="A55:I55"/>
    <mergeCell ref="A46:D46"/>
    <mergeCell ref="F46:I46"/>
    <mergeCell ref="A48:D48"/>
    <mergeCell ref="F48:I48"/>
    <mergeCell ref="A47:D47"/>
    <mergeCell ref="F47:I47"/>
    <mergeCell ref="A23:D23"/>
    <mergeCell ref="F23:I23"/>
    <mergeCell ref="A62:B62"/>
    <mergeCell ref="A59:D59"/>
    <mergeCell ref="C49:D49"/>
    <mergeCell ref="F49:I49"/>
    <mergeCell ref="I59:I60"/>
    <mergeCell ref="A58:I58"/>
    <mergeCell ref="A53:I53"/>
    <mergeCell ref="A54:I54"/>
    <mergeCell ref="A57:I57"/>
    <mergeCell ref="A60:D60"/>
    <mergeCell ref="F59:F60"/>
    <mergeCell ref="G59:G60"/>
    <mergeCell ref="H59:H60"/>
    <mergeCell ref="A44:D44"/>
  </mergeCells>
  <phoneticPr fontId="4" type="noConversion"/>
  <pageMargins left="0.75" right="0.75" top="1" bottom="1" header="0.5" footer="0.5"/>
  <pageSetup paperSize="9" scale="48"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6"/>
  <sheetViews>
    <sheetView zoomScale="65" zoomScaleNormal="65" workbookViewId="0">
      <pane xSplit="2" ySplit="6" topLeftCell="BB9" activePane="bottomRight" state="frozen"/>
      <selection pane="topRight" activeCell="C1" sqref="C1"/>
      <selection pane="bottomLeft" activeCell="A7" sqref="A7"/>
      <selection pane="bottomRight" activeCell="BF15" sqref="BF15"/>
    </sheetView>
  </sheetViews>
  <sheetFormatPr defaultColWidth="8.85546875" defaultRowHeight="12.75" x14ac:dyDescent="0.2"/>
  <cols>
    <col min="1" max="1" width="32.5703125" style="174" customWidth="1"/>
    <col min="2" max="2" width="11.7109375" style="174" customWidth="1"/>
    <col min="3" max="5" width="12.28515625" style="174" customWidth="1"/>
    <col min="6" max="6" width="10.7109375" style="174" customWidth="1"/>
    <col min="7" max="7" width="11.28515625" style="174" customWidth="1"/>
    <col min="8" max="8" width="14" style="174" customWidth="1"/>
    <col min="9" max="9" width="13.85546875" style="174" customWidth="1"/>
    <col min="10" max="10" width="11.5703125" style="174" customWidth="1"/>
    <col min="11" max="11" width="14.42578125" style="174" customWidth="1"/>
    <col min="12" max="13" width="12" style="174" customWidth="1"/>
    <col min="14" max="14" width="11.7109375" style="174" customWidth="1"/>
    <col min="15" max="23" width="13.140625" style="174" customWidth="1"/>
    <col min="24" max="24" width="10.85546875" style="174" customWidth="1"/>
    <col min="25" max="25" width="12.28515625" style="174" customWidth="1"/>
    <col min="26" max="26" width="11.28515625" style="174" customWidth="1"/>
    <col min="27" max="61" width="12" style="174" customWidth="1"/>
    <col min="62" max="62" width="11.7109375" style="174" customWidth="1"/>
    <col min="63" max="63" width="13" style="174" customWidth="1"/>
    <col min="64" max="64" width="47.7109375" style="174" customWidth="1"/>
    <col min="65" max="16384" width="8.85546875" style="174"/>
  </cols>
  <sheetData>
    <row r="2" spans="1:65" ht="45.95" customHeight="1" x14ac:dyDescent="0.3">
      <c r="A2" s="840" t="s">
        <v>148</v>
      </c>
      <c r="B2" s="840"/>
      <c r="C2" s="840"/>
      <c r="D2" s="840"/>
      <c r="E2" s="840"/>
      <c r="F2" s="840"/>
      <c r="G2" s="840"/>
      <c r="H2" s="840"/>
      <c r="I2" s="840"/>
      <c r="J2" s="840"/>
      <c r="K2" s="840"/>
      <c r="L2" s="840"/>
      <c r="M2" s="840"/>
      <c r="N2" s="840"/>
      <c r="O2" s="840"/>
      <c r="P2" s="840"/>
      <c r="Q2" s="840"/>
      <c r="R2" s="840"/>
      <c r="S2" s="840"/>
      <c r="T2" s="840"/>
      <c r="U2" s="840"/>
      <c r="V2" s="840"/>
      <c r="W2" s="840"/>
      <c r="X2" s="840"/>
      <c r="Y2" s="840"/>
      <c r="Z2" s="840"/>
      <c r="AA2" s="840"/>
      <c r="AB2" s="840"/>
      <c r="AC2" s="840"/>
      <c r="AD2" s="840"/>
      <c r="AE2" s="840"/>
      <c r="AF2" s="840"/>
      <c r="AG2" s="840"/>
      <c r="AH2" s="840"/>
      <c r="AI2" s="840"/>
      <c r="AJ2" s="840"/>
      <c r="AK2" s="840"/>
      <c r="AL2" s="840"/>
      <c r="AM2" s="840"/>
      <c r="AN2" s="840"/>
      <c r="AO2" s="840"/>
      <c r="AP2" s="840"/>
      <c r="AQ2" s="840"/>
      <c r="AR2" s="840"/>
      <c r="AS2" s="840"/>
      <c r="AT2" s="840"/>
      <c r="AU2" s="840"/>
      <c r="AV2" s="840"/>
      <c r="AW2" s="840"/>
      <c r="AX2" s="840"/>
      <c r="AY2" s="840"/>
      <c r="AZ2" s="840"/>
      <c r="BA2" s="840"/>
      <c r="BB2" s="840"/>
      <c r="BC2" s="840"/>
      <c r="BD2" s="840"/>
      <c r="BE2" s="840"/>
      <c r="BF2" s="840"/>
      <c r="BG2" s="840"/>
      <c r="BH2" s="840"/>
      <c r="BI2" s="840"/>
      <c r="BJ2" s="840"/>
      <c r="BK2" s="840"/>
      <c r="BL2" s="840"/>
    </row>
    <row r="4" spans="1:65" ht="15.75" customHeight="1" x14ac:dyDescent="0.2">
      <c r="A4" s="841" t="s">
        <v>0</v>
      </c>
      <c r="B4" s="842" t="s">
        <v>1</v>
      </c>
      <c r="C4" s="842" t="s">
        <v>2</v>
      </c>
      <c r="D4" s="847" t="s">
        <v>365</v>
      </c>
      <c r="E4" s="849"/>
      <c r="F4" s="849"/>
      <c r="G4" s="849"/>
      <c r="H4" s="849"/>
      <c r="I4" s="849"/>
      <c r="J4" s="849"/>
      <c r="K4" s="849"/>
      <c r="L4" s="849"/>
      <c r="M4" s="849"/>
      <c r="N4" s="849"/>
      <c r="O4" s="849"/>
      <c r="P4" s="849"/>
      <c r="Q4" s="849"/>
      <c r="R4" s="849"/>
      <c r="S4" s="849"/>
      <c r="T4" s="849"/>
      <c r="U4" s="849"/>
      <c r="V4" s="849"/>
      <c r="W4" s="849"/>
      <c r="X4" s="849"/>
      <c r="Y4" s="849"/>
      <c r="Z4" s="849"/>
      <c r="AA4" s="849"/>
      <c r="AB4" s="849"/>
      <c r="AC4" s="849"/>
      <c r="AD4" s="849"/>
      <c r="AE4" s="849"/>
      <c r="AF4" s="849"/>
      <c r="AG4" s="849"/>
      <c r="AH4" s="849"/>
      <c r="AI4" s="849"/>
      <c r="AJ4" s="849"/>
      <c r="AK4" s="849"/>
      <c r="AL4" s="849"/>
      <c r="AM4" s="849"/>
      <c r="AN4" s="849"/>
      <c r="AO4" s="849"/>
      <c r="AP4" s="849"/>
      <c r="AQ4" s="849"/>
      <c r="AR4" s="849"/>
      <c r="AS4" s="849"/>
      <c r="AT4" s="849"/>
      <c r="AU4" s="849"/>
      <c r="AV4" s="849"/>
      <c r="AW4" s="849"/>
      <c r="AX4" s="849"/>
      <c r="AY4" s="849"/>
      <c r="AZ4" s="849"/>
      <c r="BA4" s="849"/>
      <c r="BB4" s="849"/>
      <c r="BC4" s="849"/>
      <c r="BD4" s="849"/>
      <c r="BE4" s="849"/>
      <c r="BF4" s="849"/>
      <c r="BG4" s="849"/>
      <c r="BH4" s="849"/>
      <c r="BI4" s="849"/>
      <c r="BJ4" s="849"/>
      <c r="BK4" s="848"/>
      <c r="BL4" s="841" t="s">
        <v>4</v>
      </c>
    </row>
    <row r="5" spans="1:65" ht="122.25" customHeight="1" x14ac:dyDescent="0.2">
      <c r="A5" s="842"/>
      <c r="B5" s="843"/>
      <c r="C5" s="843"/>
      <c r="D5" s="845" t="s">
        <v>268</v>
      </c>
      <c r="E5" s="846"/>
      <c r="F5" s="845" t="s">
        <v>292</v>
      </c>
      <c r="G5" s="846"/>
      <c r="H5" s="845" t="s">
        <v>291</v>
      </c>
      <c r="I5" s="846"/>
      <c r="J5" s="845" t="s">
        <v>271</v>
      </c>
      <c r="K5" s="846"/>
      <c r="L5" s="847" t="s">
        <v>320</v>
      </c>
      <c r="M5" s="848"/>
      <c r="N5" s="847" t="s">
        <v>293</v>
      </c>
      <c r="O5" s="848"/>
      <c r="P5" s="845" t="s">
        <v>294</v>
      </c>
      <c r="Q5" s="846"/>
      <c r="R5" s="857" t="s">
        <v>295</v>
      </c>
      <c r="S5" s="857"/>
      <c r="T5" s="845" t="s">
        <v>290</v>
      </c>
      <c r="U5" s="846"/>
      <c r="V5" s="845" t="s">
        <v>296</v>
      </c>
      <c r="W5" s="846"/>
      <c r="X5" s="847" t="s">
        <v>282</v>
      </c>
      <c r="Y5" s="848"/>
      <c r="Z5" s="847" t="s">
        <v>297</v>
      </c>
      <c r="AA5" s="848"/>
      <c r="AB5" s="845" t="s">
        <v>283</v>
      </c>
      <c r="AC5" s="846"/>
      <c r="AD5" s="845" t="s">
        <v>298</v>
      </c>
      <c r="AE5" s="846"/>
      <c r="AF5" s="845" t="s">
        <v>281</v>
      </c>
      <c r="AG5" s="846"/>
      <c r="AH5" s="845" t="s">
        <v>299</v>
      </c>
      <c r="AI5" s="846"/>
      <c r="AJ5" s="845" t="s">
        <v>269</v>
      </c>
      <c r="AK5" s="846"/>
      <c r="AL5" s="845" t="s">
        <v>286</v>
      </c>
      <c r="AM5" s="846"/>
      <c r="AN5" s="845" t="s">
        <v>300</v>
      </c>
      <c r="AO5" s="846"/>
      <c r="AP5" s="845" t="s">
        <v>270</v>
      </c>
      <c r="AQ5" s="846"/>
      <c r="AR5" s="845" t="s">
        <v>274</v>
      </c>
      <c r="AS5" s="846"/>
      <c r="AT5" s="845" t="s">
        <v>301</v>
      </c>
      <c r="AU5" s="846"/>
      <c r="AV5" s="845" t="s">
        <v>275</v>
      </c>
      <c r="AW5" s="846"/>
      <c r="AX5" s="845" t="s">
        <v>276</v>
      </c>
      <c r="AY5" s="846"/>
      <c r="AZ5" s="845" t="s">
        <v>277</v>
      </c>
      <c r="BA5" s="846"/>
      <c r="BB5" s="845" t="s">
        <v>278</v>
      </c>
      <c r="BC5" s="846"/>
      <c r="BD5" s="845" t="s">
        <v>279</v>
      </c>
      <c r="BE5" s="846"/>
      <c r="BF5" s="845" t="s">
        <v>280</v>
      </c>
      <c r="BG5" s="846"/>
      <c r="BH5" s="845" t="s">
        <v>272</v>
      </c>
      <c r="BI5" s="846"/>
      <c r="BJ5" s="847" t="s">
        <v>273</v>
      </c>
      <c r="BK5" s="848"/>
      <c r="BL5" s="842"/>
    </row>
    <row r="6" spans="1:65" ht="27.95" customHeight="1" thickBot="1" x14ac:dyDescent="0.25">
      <c r="A6" s="175"/>
      <c r="B6" s="844"/>
      <c r="C6" s="844"/>
      <c r="D6" s="176" t="s">
        <v>12</v>
      </c>
      <c r="E6" s="177" t="s">
        <v>13</v>
      </c>
      <c r="F6" s="176" t="s">
        <v>12</v>
      </c>
      <c r="G6" s="177" t="s">
        <v>13</v>
      </c>
      <c r="H6" s="176" t="s">
        <v>12</v>
      </c>
      <c r="I6" s="177" t="s">
        <v>13</v>
      </c>
      <c r="J6" s="176" t="s">
        <v>12</v>
      </c>
      <c r="K6" s="177" t="s">
        <v>13</v>
      </c>
      <c r="L6" s="176" t="s">
        <v>12</v>
      </c>
      <c r="M6" s="177" t="s">
        <v>13</v>
      </c>
      <c r="N6" s="176" t="s">
        <v>12</v>
      </c>
      <c r="O6" s="177" t="s">
        <v>13</v>
      </c>
      <c r="P6" s="176" t="s">
        <v>12</v>
      </c>
      <c r="Q6" s="177" t="s">
        <v>13</v>
      </c>
      <c r="R6" s="176" t="s">
        <v>12</v>
      </c>
      <c r="S6" s="177" t="s">
        <v>13</v>
      </c>
      <c r="T6" s="176" t="s">
        <v>12</v>
      </c>
      <c r="U6" s="177" t="s">
        <v>13</v>
      </c>
      <c r="V6" s="176" t="s">
        <v>12</v>
      </c>
      <c r="W6" s="177" t="s">
        <v>13</v>
      </c>
      <c r="X6" s="176" t="s">
        <v>12</v>
      </c>
      <c r="Y6" s="177" t="s">
        <v>13</v>
      </c>
      <c r="Z6" s="176" t="s">
        <v>12</v>
      </c>
      <c r="AA6" s="177" t="s">
        <v>13</v>
      </c>
      <c r="AB6" s="176" t="s">
        <v>12</v>
      </c>
      <c r="AC6" s="177" t="s">
        <v>13</v>
      </c>
      <c r="AD6" s="176" t="s">
        <v>12</v>
      </c>
      <c r="AE6" s="177" t="s">
        <v>13</v>
      </c>
      <c r="AF6" s="176" t="s">
        <v>12</v>
      </c>
      <c r="AG6" s="177" t="s">
        <v>13</v>
      </c>
      <c r="AH6" s="176" t="s">
        <v>12</v>
      </c>
      <c r="AI6" s="177" t="s">
        <v>13</v>
      </c>
      <c r="AJ6" s="176" t="s">
        <v>12</v>
      </c>
      <c r="AK6" s="177" t="s">
        <v>13</v>
      </c>
      <c r="AL6" s="176" t="s">
        <v>12</v>
      </c>
      <c r="AM6" s="177" t="s">
        <v>13</v>
      </c>
      <c r="AN6" s="176" t="s">
        <v>12</v>
      </c>
      <c r="AO6" s="177" t="s">
        <v>13</v>
      </c>
      <c r="AP6" s="176" t="s">
        <v>12</v>
      </c>
      <c r="AQ6" s="177" t="s">
        <v>13</v>
      </c>
      <c r="AR6" s="176" t="s">
        <v>12</v>
      </c>
      <c r="AS6" s="177" t="s">
        <v>13</v>
      </c>
      <c r="AT6" s="176" t="s">
        <v>12</v>
      </c>
      <c r="AU6" s="177" t="s">
        <v>13</v>
      </c>
      <c r="AV6" s="176" t="s">
        <v>12</v>
      </c>
      <c r="AW6" s="177" t="s">
        <v>13</v>
      </c>
      <c r="AX6" s="176" t="s">
        <v>12</v>
      </c>
      <c r="AY6" s="177" t="s">
        <v>13</v>
      </c>
      <c r="AZ6" s="176" t="s">
        <v>12</v>
      </c>
      <c r="BA6" s="177" t="s">
        <v>13</v>
      </c>
      <c r="BB6" s="176" t="s">
        <v>12</v>
      </c>
      <c r="BC6" s="177" t="s">
        <v>13</v>
      </c>
      <c r="BD6" s="176" t="s">
        <v>12</v>
      </c>
      <c r="BE6" s="177" t="s">
        <v>13</v>
      </c>
      <c r="BF6" s="176" t="s">
        <v>12</v>
      </c>
      <c r="BG6" s="177" t="s">
        <v>13</v>
      </c>
      <c r="BH6" s="176" t="s">
        <v>12</v>
      </c>
      <c r="BI6" s="177" t="s">
        <v>13</v>
      </c>
      <c r="BJ6" s="176" t="s">
        <v>12</v>
      </c>
      <c r="BK6" s="177" t="s">
        <v>13</v>
      </c>
      <c r="BL6" s="173"/>
    </row>
    <row r="7" spans="1:65" ht="26.65" customHeight="1" thickBot="1" x14ac:dyDescent="0.25">
      <c r="A7" s="850" t="s">
        <v>116</v>
      </c>
      <c r="B7" s="851"/>
      <c r="C7" s="470">
        <v>50</v>
      </c>
      <c r="D7" s="353"/>
      <c r="E7" s="470">
        <f>C7*(E8+E9+E10+E11)</f>
        <v>49.999999999999993</v>
      </c>
      <c r="F7" s="478"/>
      <c r="G7" s="470">
        <f>C7*(G9+G11+G10+G8)</f>
        <v>49.999999999999993</v>
      </c>
      <c r="H7" s="471"/>
      <c r="I7" s="470">
        <f>C7*(I9+I11+I10+I8)</f>
        <v>49.999999999999993</v>
      </c>
      <c r="J7" s="471"/>
      <c r="K7" s="470">
        <f>C7*(K9+K11+K10+K8)</f>
        <v>49.999999999999993</v>
      </c>
      <c r="L7" s="471"/>
      <c r="M7" s="470">
        <f>C7*(M9+M11+M10+M8)</f>
        <v>49.999999999999993</v>
      </c>
      <c r="N7" s="471"/>
      <c r="O7" s="470">
        <f>C7*(O9+O11+O10+O8)</f>
        <v>49.999999999999993</v>
      </c>
      <c r="P7" s="470"/>
      <c r="Q7" s="470">
        <f>C7*(Q9+Q11+Q10+Q8)</f>
        <v>49.999999999999993</v>
      </c>
      <c r="R7" s="470"/>
      <c r="S7" s="470">
        <f>C7*(S9+S11+S10+S8)</f>
        <v>49.999999999999993</v>
      </c>
      <c r="T7" s="470"/>
      <c r="U7" s="470">
        <f>C7*(U9+U11+U10+U8)</f>
        <v>49.999999999999993</v>
      </c>
      <c r="V7" s="470"/>
      <c r="W7" s="470">
        <f>C7*(W9+W11+W10+W8)</f>
        <v>49.999999999999993</v>
      </c>
      <c r="X7" s="471"/>
      <c r="Y7" s="470">
        <f>C7*(Y9+Y11+Y10+Y8)</f>
        <v>49.999999999999993</v>
      </c>
      <c r="Z7" s="471"/>
      <c r="AA7" s="470">
        <f>C7*(AA9+AA11+AA10+AA8)</f>
        <v>49.999999999999993</v>
      </c>
      <c r="AB7" s="470"/>
      <c r="AC7" s="470">
        <f>C7*(AC9+AC11+AC10+AC8)</f>
        <v>49.999999999999993</v>
      </c>
      <c r="AD7" s="470"/>
      <c r="AE7" s="470">
        <f>C7*(AE9+AE11+AE10+AE8)</f>
        <v>49.999999999999993</v>
      </c>
      <c r="AF7" s="470"/>
      <c r="AG7" s="470">
        <f>C7*(AG9+AG11+AG10+AG8)</f>
        <v>49.999999999999993</v>
      </c>
      <c r="AH7" s="470"/>
      <c r="AI7" s="470">
        <f>C7*(AI9+AI11+AI10+AI8)</f>
        <v>49.999999999999993</v>
      </c>
      <c r="AJ7" s="470"/>
      <c r="AK7" s="470">
        <f>C7*(AK9+AK11+AK10+AK8)</f>
        <v>49.999999999999993</v>
      </c>
      <c r="AL7" s="470"/>
      <c r="AM7" s="470">
        <f>C7*(AM8+AM9+AM10+AM11)</f>
        <v>49.999999999999993</v>
      </c>
      <c r="AN7" s="470"/>
      <c r="AO7" s="470">
        <f>C7*(AO8+AO9+AO10+AO11)</f>
        <v>49.999999999999993</v>
      </c>
      <c r="AP7" s="470"/>
      <c r="AQ7" s="470">
        <f>C7*(AQ8+AQ9+AQ10+AQ11)</f>
        <v>49.999999999999993</v>
      </c>
      <c r="AR7" s="470"/>
      <c r="AS7" s="470">
        <f>C7*(AS8+AS9+AS10+AS11)</f>
        <v>49.999999999999993</v>
      </c>
      <c r="AT7" s="470"/>
      <c r="AU7" s="470">
        <f>C7*(AU8+AU9+AU10+AU11)</f>
        <v>49.999999999999993</v>
      </c>
      <c r="AV7" s="470"/>
      <c r="AW7" s="470">
        <f>C7*(AW8+AW9+AW10+AW11)</f>
        <v>49.999999999999993</v>
      </c>
      <c r="AX7" s="470"/>
      <c r="AY7" s="470">
        <f>C7*(AY8+AY9+AY10+AY11)</f>
        <v>49.999999999999993</v>
      </c>
      <c r="AZ7" s="470"/>
      <c r="BA7" s="470">
        <f>C7*(BA8+BA9+BA10+BA11)</f>
        <v>49.999999999999993</v>
      </c>
      <c r="BB7" s="470"/>
      <c r="BC7" s="470">
        <f>C7*(BC8+BC9+BC10+BC11)</f>
        <v>49.999999999999993</v>
      </c>
      <c r="BD7" s="470"/>
      <c r="BE7" s="470">
        <f>C7*(BE8+BE9+BE10+BE11)</f>
        <v>49.999999999999993</v>
      </c>
      <c r="BF7" s="470"/>
      <c r="BG7" s="470">
        <f>C7*(BG8+BG9+BG10+BG11)</f>
        <v>49.999999999999993</v>
      </c>
      <c r="BH7" s="470"/>
      <c r="BI7" s="470">
        <f>C7*(BI8+BI9+BI10+BI11)</f>
        <v>49.999999999999993</v>
      </c>
      <c r="BJ7" s="471"/>
      <c r="BK7" s="470">
        <f>C7*(BK9+BK11+BK10+BK8)</f>
        <v>49.999999999999993</v>
      </c>
      <c r="BL7" s="479"/>
    </row>
    <row r="8" spans="1:65" ht="120.6" customHeight="1" x14ac:dyDescent="0.2">
      <c r="A8" s="602" t="s">
        <v>117</v>
      </c>
      <c r="B8" s="368" t="s">
        <v>123</v>
      </c>
      <c r="C8" s="468">
        <v>17.649999999999999</v>
      </c>
      <c r="D8" s="468">
        <v>1</v>
      </c>
      <c r="E8" s="468">
        <f>C8*D8/100</f>
        <v>0.17649999999999999</v>
      </c>
      <c r="F8" s="468">
        <v>1</v>
      </c>
      <c r="G8" s="468">
        <f>F8*C8/100</f>
        <v>0.17649999999999999</v>
      </c>
      <c r="H8" s="468">
        <v>1</v>
      </c>
      <c r="I8" s="468">
        <f>C8*H8/100</f>
        <v>0.17649999999999999</v>
      </c>
      <c r="J8" s="468">
        <v>1</v>
      </c>
      <c r="K8" s="468">
        <f>C8*J8/100</f>
        <v>0.17649999999999999</v>
      </c>
      <c r="L8" s="468">
        <v>1</v>
      </c>
      <c r="M8" s="468">
        <f>C8*L8/100</f>
        <v>0.17649999999999999</v>
      </c>
      <c r="N8" s="468">
        <v>1</v>
      </c>
      <c r="O8" s="468">
        <f>C8*N8/100</f>
        <v>0.17649999999999999</v>
      </c>
      <c r="P8" s="468">
        <v>1</v>
      </c>
      <c r="Q8" s="468">
        <f>C8*P8/100</f>
        <v>0.17649999999999999</v>
      </c>
      <c r="R8" s="468">
        <v>1</v>
      </c>
      <c r="S8" s="468">
        <f>C8*R8/100</f>
        <v>0.17649999999999999</v>
      </c>
      <c r="T8" s="468">
        <v>1</v>
      </c>
      <c r="U8" s="468">
        <f>C8*T8/100</f>
        <v>0.17649999999999999</v>
      </c>
      <c r="V8" s="468">
        <v>1</v>
      </c>
      <c r="W8" s="468">
        <f>C8*V8/100</f>
        <v>0.17649999999999999</v>
      </c>
      <c r="X8" s="468">
        <v>1</v>
      </c>
      <c r="Y8" s="468">
        <f>C8*X8/100</f>
        <v>0.17649999999999999</v>
      </c>
      <c r="Z8" s="468">
        <v>1</v>
      </c>
      <c r="AA8" s="468">
        <f>C8*Z8/100</f>
        <v>0.17649999999999999</v>
      </c>
      <c r="AB8" s="468">
        <v>1</v>
      </c>
      <c r="AC8" s="468">
        <f>C8*AB8/100</f>
        <v>0.17649999999999999</v>
      </c>
      <c r="AD8" s="468">
        <v>1</v>
      </c>
      <c r="AE8" s="468">
        <f>C8*AD8/100</f>
        <v>0.17649999999999999</v>
      </c>
      <c r="AF8" s="468">
        <v>1</v>
      </c>
      <c r="AG8" s="468">
        <f>C8*AF8/100</f>
        <v>0.17649999999999999</v>
      </c>
      <c r="AH8" s="468">
        <v>1</v>
      </c>
      <c r="AI8" s="468">
        <f>C8*AH8/100</f>
        <v>0.17649999999999999</v>
      </c>
      <c r="AJ8" s="468">
        <v>1</v>
      </c>
      <c r="AK8" s="468">
        <f>C8*AJ8/100</f>
        <v>0.17649999999999999</v>
      </c>
      <c r="AL8" s="468">
        <v>1</v>
      </c>
      <c r="AM8" s="468">
        <f>C8*AL8/100</f>
        <v>0.17649999999999999</v>
      </c>
      <c r="AN8" s="468">
        <v>1</v>
      </c>
      <c r="AO8" s="468">
        <f>C8*AN8/100</f>
        <v>0.17649999999999999</v>
      </c>
      <c r="AP8" s="468">
        <v>1</v>
      </c>
      <c r="AQ8" s="468">
        <f>C8*AP8/100</f>
        <v>0.17649999999999999</v>
      </c>
      <c r="AR8" s="468">
        <v>1</v>
      </c>
      <c r="AS8" s="468">
        <f>C8*AR8/100</f>
        <v>0.17649999999999999</v>
      </c>
      <c r="AT8" s="468">
        <v>1</v>
      </c>
      <c r="AU8" s="468">
        <f>C8*AT8/100</f>
        <v>0.17649999999999999</v>
      </c>
      <c r="AV8" s="468">
        <v>1</v>
      </c>
      <c r="AW8" s="468">
        <f>C8*AV8/100</f>
        <v>0.17649999999999999</v>
      </c>
      <c r="AX8" s="468">
        <v>1</v>
      </c>
      <c r="AY8" s="468">
        <f>C8*AX8/100</f>
        <v>0.17649999999999999</v>
      </c>
      <c r="AZ8" s="468">
        <v>1</v>
      </c>
      <c r="BA8" s="468">
        <f>C8*AZ8/100</f>
        <v>0.17649999999999999</v>
      </c>
      <c r="BB8" s="468">
        <v>1</v>
      </c>
      <c r="BC8" s="468">
        <f>C8*BB8/100</f>
        <v>0.17649999999999999</v>
      </c>
      <c r="BD8" s="468">
        <v>1</v>
      </c>
      <c r="BE8" s="468">
        <f>C8*BD8/100</f>
        <v>0.17649999999999999</v>
      </c>
      <c r="BF8" s="468">
        <v>1</v>
      </c>
      <c r="BG8" s="468">
        <f>C8*BF8/100</f>
        <v>0.17649999999999999</v>
      </c>
      <c r="BH8" s="468">
        <v>1</v>
      </c>
      <c r="BI8" s="468">
        <f>C8*BH8/100</f>
        <v>0.17649999999999999</v>
      </c>
      <c r="BJ8" s="468">
        <v>1</v>
      </c>
      <c r="BK8" s="468">
        <f>C8*BJ8/100</f>
        <v>0.17649999999999999</v>
      </c>
      <c r="BL8" s="480" t="s">
        <v>124</v>
      </c>
      <c r="BM8" s="2"/>
    </row>
    <row r="9" spans="1:65" ht="115.9" customHeight="1" x14ac:dyDescent="0.2">
      <c r="A9" s="602" t="s">
        <v>118</v>
      </c>
      <c r="B9" s="368" t="s">
        <v>5</v>
      </c>
      <c r="C9" s="468">
        <v>35.299999999999997</v>
      </c>
      <c r="D9" s="468">
        <f>1-('приложение 14'!F15/'приложение 14'!F14)</f>
        <v>1</v>
      </c>
      <c r="E9" s="468">
        <f>C9*D9/100</f>
        <v>0.35299999999999998</v>
      </c>
      <c r="F9" s="468">
        <f>1-('приложение 14'!G15/'приложение 14'!G14)</f>
        <v>1</v>
      </c>
      <c r="G9" s="468">
        <f>F9*C9/100</f>
        <v>0.35299999999999998</v>
      </c>
      <c r="H9" s="468">
        <f>1-('приложение 14'!H15/'приложение 14'!H14)</f>
        <v>1</v>
      </c>
      <c r="I9" s="468">
        <f>C9*H9/100</f>
        <v>0.35299999999999998</v>
      </c>
      <c r="J9" s="468">
        <f>1-('приложение 14'!I15/'приложение 14'!I14)</f>
        <v>1</v>
      </c>
      <c r="K9" s="468">
        <f>C9*J9/100</f>
        <v>0.35299999999999998</v>
      </c>
      <c r="L9" s="468">
        <f>1-('приложение 14'!J15/'приложение 14'!J14)</f>
        <v>1</v>
      </c>
      <c r="M9" s="468">
        <f>C9*L9/100</f>
        <v>0.35299999999999998</v>
      </c>
      <c r="N9" s="468">
        <f>1-('приложение 14'!K15/'приложение 14'!K14)</f>
        <v>1</v>
      </c>
      <c r="O9" s="468">
        <f>C9*N9/100</f>
        <v>0.35299999999999998</v>
      </c>
      <c r="P9" s="468">
        <f>1-('приложение 14'!L15/'приложение 14'!L14)</f>
        <v>1</v>
      </c>
      <c r="Q9" s="468">
        <f>C9*P9/100</f>
        <v>0.35299999999999998</v>
      </c>
      <c r="R9" s="468">
        <f>1-('приложение 14'!M15/'приложение 14'!M14)</f>
        <v>1</v>
      </c>
      <c r="S9" s="468">
        <f>C9*R9/100</f>
        <v>0.35299999999999998</v>
      </c>
      <c r="T9" s="468">
        <f>1-('приложение 14'!N15/'приложение 14'!N14)</f>
        <v>1</v>
      </c>
      <c r="U9" s="468">
        <f>C9*T9/100</f>
        <v>0.35299999999999998</v>
      </c>
      <c r="V9" s="468">
        <f>1-('приложение 14'!P15/'приложение 14'!P14)</f>
        <v>1</v>
      </c>
      <c r="W9" s="468">
        <f>C9*V9/100</f>
        <v>0.35299999999999998</v>
      </c>
      <c r="X9" s="468">
        <f>1-('приложение 14'!Q15/'приложение 14'!Q14)</f>
        <v>1</v>
      </c>
      <c r="Y9" s="468">
        <f>C9*X9/100</f>
        <v>0.35299999999999998</v>
      </c>
      <c r="Z9" s="468">
        <f>1-('приложение 14'!R15/'приложение 14'!R14)</f>
        <v>1</v>
      </c>
      <c r="AA9" s="468">
        <f>C9*Z9/100</f>
        <v>0.35299999999999998</v>
      </c>
      <c r="AB9" s="468">
        <f>1-('приложение 14'!S15/'приложение 14'!S14)</f>
        <v>1</v>
      </c>
      <c r="AC9" s="468">
        <f>C9*AB9/100</f>
        <v>0.35299999999999998</v>
      </c>
      <c r="AD9" s="468">
        <f>1-('приложение 14'!T15/'приложение 14'!T14)</f>
        <v>1</v>
      </c>
      <c r="AE9" s="468">
        <f>C9*AD9/100</f>
        <v>0.35299999999999998</v>
      </c>
      <c r="AF9" s="468">
        <f>1-('приложение 14'!U15/'приложение 14'!U14)</f>
        <v>1</v>
      </c>
      <c r="AG9" s="468">
        <f>C9*AF9/100</f>
        <v>0.35299999999999998</v>
      </c>
      <c r="AH9" s="468">
        <f>1-('приложение 14'!V15/'приложение 14'!V14)</f>
        <v>1</v>
      </c>
      <c r="AI9" s="468">
        <f>C9*AH9/100</f>
        <v>0.35299999999999998</v>
      </c>
      <c r="AJ9" s="468">
        <f>1-('приложение 14'!W15/'приложение 14'!W14)</f>
        <v>1</v>
      </c>
      <c r="AK9" s="468">
        <f>C9*AJ9/100</f>
        <v>0.35299999999999998</v>
      </c>
      <c r="AL9" s="468">
        <f>1-('приложение 14'!X15/'приложение 14'!X14)</f>
        <v>1</v>
      </c>
      <c r="AM9" s="468">
        <f>C9*AL9/100</f>
        <v>0.35299999999999998</v>
      </c>
      <c r="AN9" s="468">
        <f>1-('приложение 14'!Y15/'приложение 14'!Y14)</f>
        <v>1</v>
      </c>
      <c r="AO9" s="468">
        <f>C9*AN9/100</f>
        <v>0.35299999999999998</v>
      </c>
      <c r="AP9" s="468">
        <f>1-('приложение 14'!Z15/'приложение 14'!Z14)</f>
        <v>1</v>
      </c>
      <c r="AQ9" s="468">
        <f>C9*AP9/100</f>
        <v>0.35299999999999998</v>
      </c>
      <c r="AR9" s="468">
        <f>1-('приложение 14'!AA15/'приложение 14'!AA14)</f>
        <v>1</v>
      </c>
      <c r="AS9" s="468">
        <f>C9*AR9/100</f>
        <v>0.35299999999999998</v>
      </c>
      <c r="AT9" s="468">
        <f>1-('приложение 14'!AB15/'приложение 14'!AB14)</f>
        <v>1</v>
      </c>
      <c r="AU9" s="468">
        <f>C9*AT9/100</f>
        <v>0.35299999999999998</v>
      </c>
      <c r="AV9" s="468">
        <f>1-('приложение 14'!AC15/'приложение 14'!AC14)</f>
        <v>1</v>
      </c>
      <c r="AW9" s="468">
        <f>C9*AV9/100</f>
        <v>0.35299999999999998</v>
      </c>
      <c r="AX9" s="468">
        <f>1-('приложение 14'!AD15/'приложение 14'!AD14)</f>
        <v>1</v>
      </c>
      <c r="AY9" s="468">
        <f>C9*AX9/100</f>
        <v>0.35299999999999998</v>
      </c>
      <c r="AZ9" s="468">
        <f>1-('приложение 14'!AE15/'приложение 14'!AE14)</f>
        <v>1</v>
      </c>
      <c r="BA9" s="468">
        <f>C9*AZ9/100</f>
        <v>0.35299999999999998</v>
      </c>
      <c r="BB9" s="468">
        <f>1-('приложение 14'!AF15/'приложение 14'!AF14)</f>
        <v>1</v>
      </c>
      <c r="BC9" s="468">
        <f>C9*BB9/100</f>
        <v>0.35299999999999998</v>
      </c>
      <c r="BD9" s="468">
        <f>1-('приложение 14'!AG15/'приложение 14'!AG14)</f>
        <v>1</v>
      </c>
      <c r="BE9" s="468">
        <f>C9*BD9/100</f>
        <v>0.35299999999999998</v>
      </c>
      <c r="BF9" s="468">
        <f>1-('приложение 14'!AH15/'приложение 14'!AH14)</f>
        <v>1</v>
      </c>
      <c r="BG9" s="468">
        <f>C9*BF9/100</f>
        <v>0.35299999999999998</v>
      </c>
      <c r="BH9" s="468">
        <f>1-('приложение 14'!AI15/'приложение 14'!AI14)</f>
        <v>1</v>
      </c>
      <c r="BI9" s="468">
        <f>C9*BH9/100</f>
        <v>0.35299999999999998</v>
      </c>
      <c r="BJ9" s="468">
        <f>1-('приложение 14'!AJ15/'приложение 14'!AJ14)</f>
        <v>1</v>
      </c>
      <c r="BK9" s="468">
        <f>C9*BJ9/100</f>
        <v>0.35299999999999998</v>
      </c>
      <c r="BL9" s="480" t="s">
        <v>125</v>
      </c>
      <c r="BM9" s="2"/>
    </row>
    <row r="10" spans="1:65" ht="88.9" customHeight="1" x14ac:dyDescent="0.2">
      <c r="A10" s="603" t="s">
        <v>119</v>
      </c>
      <c r="B10" s="368" t="s">
        <v>5</v>
      </c>
      <c r="C10" s="469">
        <v>29.4</v>
      </c>
      <c r="D10" s="469">
        <f>1-('приложение 14'!F16/'приложение 14'!F18)</f>
        <v>1</v>
      </c>
      <c r="E10" s="469">
        <f>C10*D10/100</f>
        <v>0.29399999999999998</v>
      </c>
      <c r="F10" s="469">
        <f>1-('приложение 14'!G16/'приложение 14'!G18)</f>
        <v>1</v>
      </c>
      <c r="G10" s="468">
        <f>F10*C10/100</f>
        <v>0.29399999999999998</v>
      </c>
      <c r="H10" s="469">
        <f>1-('приложение 14'!H16/'приложение 14'!H18)</f>
        <v>1</v>
      </c>
      <c r="I10" s="468">
        <f>C10*H10/100</f>
        <v>0.29399999999999998</v>
      </c>
      <c r="J10" s="469">
        <f>1-('приложение 14'!I16/'приложение 14'!I18)</f>
        <v>1</v>
      </c>
      <c r="K10" s="468">
        <f>C10*J10/100</f>
        <v>0.29399999999999998</v>
      </c>
      <c r="L10" s="469">
        <f>1-('приложение 14'!J16/'приложение 14'!J18)</f>
        <v>1</v>
      </c>
      <c r="M10" s="468">
        <f>C10*L10/100</f>
        <v>0.29399999999999998</v>
      </c>
      <c r="N10" s="469">
        <f>1-('приложение 14'!K16/'приложение 14'!K18)</f>
        <v>1</v>
      </c>
      <c r="O10" s="468">
        <f>C10*N10/100</f>
        <v>0.29399999999999998</v>
      </c>
      <c r="P10" s="468">
        <f>1-('приложение 14'!L16/'приложение 14'!L18)</f>
        <v>1</v>
      </c>
      <c r="Q10" s="468">
        <f>C10*P10/100</f>
        <v>0.29399999999999998</v>
      </c>
      <c r="R10" s="468">
        <f>1-('приложение 14'!M16/'приложение 14'!M18)</f>
        <v>1</v>
      </c>
      <c r="S10" s="468">
        <f>C10*R10/100</f>
        <v>0.29399999999999998</v>
      </c>
      <c r="T10" s="468">
        <f>1-('приложение 14'!N16/'приложение 14'!N18)</f>
        <v>1</v>
      </c>
      <c r="U10" s="468">
        <f>C10*T10/100</f>
        <v>0.29399999999999998</v>
      </c>
      <c r="V10" s="468">
        <f>1-('приложение 14'!P16/'приложение 14'!P18)</f>
        <v>1</v>
      </c>
      <c r="W10" s="468">
        <f>C10*V10/100</f>
        <v>0.29399999999999998</v>
      </c>
      <c r="X10" s="468">
        <f>1-('приложение 14'!Q16/'приложение 14'!Q18)</f>
        <v>1</v>
      </c>
      <c r="Y10" s="468">
        <f>C10*X10/100</f>
        <v>0.29399999999999998</v>
      </c>
      <c r="Z10" s="468">
        <f>1-('приложение 14'!R16/'приложение 14'!R18)</f>
        <v>1</v>
      </c>
      <c r="AA10" s="468">
        <f>C10*Z10/100</f>
        <v>0.29399999999999998</v>
      </c>
      <c r="AB10" s="468">
        <f>1-('приложение 14'!S16/'приложение 14'!S18)</f>
        <v>1</v>
      </c>
      <c r="AC10" s="468">
        <f>C10*AB10/100</f>
        <v>0.29399999999999998</v>
      </c>
      <c r="AD10" s="468">
        <f>1-('приложение 14'!T16/'приложение 14'!T18)</f>
        <v>1</v>
      </c>
      <c r="AE10" s="468">
        <f>C10*AD10/100</f>
        <v>0.29399999999999998</v>
      </c>
      <c r="AF10" s="468">
        <f>1-('приложение 14'!U16/'приложение 14'!U18)</f>
        <v>1</v>
      </c>
      <c r="AG10" s="468">
        <f>C10*AF10/100</f>
        <v>0.29399999999999998</v>
      </c>
      <c r="AH10" s="468">
        <f>1-('приложение 14'!V16/'приложение 14'!V18)</f>
        <v>1</v>
      </c>
      <c r="AI10" s="468">
        <f>C10*AH10/100</f>
        <v>0.29399999999999998</v>
      </c>
      <c r="AJ10" s="468">
        <f>1-('приложение 14'!W16/'приложение 14'!W18)</f>
        <v>1</v>
      </c>
      <c r="AK10" s="468">
        <f>C10*AJ10/100</f>
        <v>0.29399999999999998</v>
      </c>
      <c r="AL10" s="468">
        <f>1-('приложение 14'!X16/'приложение 14'!X18)</f>
        <v>1</v>
      </c>
      <c r="AM10" s="468">
        <f>C10*AL10/100</f>
        <v>0.29399999999999998</v>
      </c>
      <c r="AN10" s="468">
        <f>1-('приложение 14'!Y16/'приложение 14'!Y18)</f>
        <v>1</v>
      </c>
      <c r="AO10" s="468">
        <f>C10*AN10/100</f>
        <v>0.29399999999999998</v>
      </c>
      <c r="AP10" s="468">
        <f>1-('приложение 14'!Z16/'приложение 14'!Z18)</f>
        <v>1</v>
      </c>
      <c r="AQ10" s="468">
        <f>C10*AP10/100</f>
        <v>0.29399999999999998</v>
      </c>
      <c r="AR10" s="468">
        <f>1-('приложение 14'!AA16/'приложение 14'!AA18)</f>
        <v>1</v>
      </c>
      <c r="AS10" s="468">
        <f>C10*AR10/100</f>
        <v>0.29399999999999998</v>
      </c>
      <c r="AT10" s="468">
        <f>1-('приложение 14'!AB16/'приложение 14'!AB18)</f>
        <v>1</v>
      </c>
      <c r="AU10" s="468">
        <f>C10*AT10/100</f>
        <v>0.29399999999999998</v>
      </c>
      <c r="AV10" s="468">
        <f>1-('приложение 14'!AC16/'приложение 14'!AC18)</f>
        <v>1</v>
      </c>
      <c r="AW10" s="468">
        <f>C10*AV10/100</f>
        <v>0.29399999999999998</v>
      </c>
      <c r="AX10" s="468">
        <f>1-('приложение 14'!AD16/'приложение 14'!AD18)</f>
        <v>1</v>
      </c>
      <c r="AY10" s="468">
        <f>C10*AX10/100</f>
        <v>0.29399999999999998</v>
      </c>
      <c r="AZ10" s="468">
        <f>1-('приложение 14'!AE16/'приложение 14'!AE18)</f>
        <v>1</v>
      </c>
      <c r="BA10" s="468">
        <f>C10*AZ10/100</f>
        <v>0.29399999999999998</v>
      </c>
      <c r="BB10" s="468">
        <f>1-('приложение 14'!AF16/'приложение 14'!AF18)</f>
        <v>1</v>
      </c>
      <c r="BC10" s="468">
        <f>C10*BB10/100</f>
        <v>0.29399999999999998</v>
      </c>
      <c r="BD10" s="468">
        <f>1-('приложение 14'!AG16/'приложение 14'!AG18)</f>
        <v>1</v>
      </c>
      <c r="BE10" s="468">
        <f>C10*BD10/100</f>
        <v>0.29399999999999998</v>
      </c>
      <c r="BF10" s="468">
        <f>1-('приложение 14'!AH16/'приложение 14'!AH18)</f>
        <v>1</v>
      </c>
      <c r="BG10" s="468">
        <f>C10*BF10/100</f>
        <v>0.29399999999999998</v>
      </c>
      <c r="BH10" s="468">
        <f>1-('приложение 14'!AI16/'приложение 14'!AI18)</f>
        <v>1</v>
      </c>
      <c r="BI10" s="468">
        <f>C10*BH10/100</f>
        <v>0.29399999999999998</v>
      </c>
      <c r="BJ10" s="469">
        <f>1-('приложение 14'!AJ16/'приложение 14'!AJ18)</f>
        <v>1</v>
      </c>
      <c r="BK10" s="468">
        <f>C10*BJ10/100</f>
        <v>0.29399999999999998</v>
      </c>
      <c r="BL10" s="604" t="s">
        <v>126</v>
      </c>
      <c r="BM10" s="2"/>
    </row>
    <row r="11" spans="1:65" ht="275.25" customHeight="1" thickBot="1" x14ac:dyDescent="0.25">
      <c r="A11" s="603" t="s">
        <v>120</v>
      </c>
      <c r="B11" s="368" t="s">
        <v>5</v>
      </c>
      <c r="C11" s="469">
        <v>17.649999999999999</v>
      </c>
      <c r="D11" s="469">
        <f>'приложение 14'!F19/'приложение 14'!F17</f>
        <v>1</v>
      </c>
      <c r="E11" s="469">
        <f>C11*D11/100</f>
        <v>0.17649999999999999</v>
      </c>
      <c r="F11" s="469">
        <f>'приложение 14'!G19/'приложение 14'!G17</f>
        <v>1</v>
      </c>
      <c r="G11" s="468">
        <f>F11*C11/100</f>
        <v>0.17649999999999999</v>
      </c>
      <c r="H11" s="469">
        <f>'приложение 14'!H19/'приложение 14'!H17</f>
        <v>1</v>
      </c>
      <c r="I11" s="468">
        <f>C11*H11/100</f>
        <v>0.17649999999999999</v>
      </c>
      <c r="J11" s="469">
        <f>'приложение 14'!I19/'приложение 14'!I17</f>
        <v>1</v>
      </c>
      <c r="K11" s="468">
        <f>C11*J11/100</f>
        <v>0.17649999999999999</v>
      </c>
      <c r="L11" s="469">
        <f>'приложение 14'!J19/'приложение 14'!J17</f>
        <v>1</v>
      </c>
      <c r="M11" s="468">
        <f>C11*L11/100</f>
        <v>0.17649999999999999</v>
      </c>
      <c r="N11" s="469">
        <f>'приложение 14'!K19/'приложение 14'!K17</f>
        <v>1</v>
      </c>
      <c r="O11" s="468">
        <f>C11*N11/100</f>
        <v>0.17649999999999999</v>
      </c>
      <c r="P11" s="605">
        <f>'приложение 14'!L19/'приложение 14'!L17</f>
        <v>1</v>
      </c>
      <c r="Q11" s="606">
        <f>C11*P11/100</f>
        <v>0.17649999999999999</v>
      </c>
      <c r="R11" s="607">
        <f>'приложение 14'!M19/'приложение 14'!M17</f>
        <v>1</v>
      </c>
      <c r="S11" s="606">
        <f>C11*R11/100</f>
        <v>0.17649999999999999</v>
      </c>
      <c r="T11" s="607">
        <f>'приложение 14'!N19/'приложение 14'!N17</f>
        <v>1</v>
      </c>
      <c r="U11" s="606">
        <f>C11*T11/100</f>
        <v>0.17649999999999999</v>
      </c>
      <c r="V11" s="607">
        <f>'приложение 14'!P19/'приложение 14'!P17</f>
        <v>1</v>
      </c>
      <c r="W11" s="606">
        <f>C11*V11/100</f>
        <v>0.17649999999999999</v>
      </c>
      <c r="X11" s="469">
        <f>'приложение 14'!Q19/'приложение 14'!Q17</f>
        <v>1</v>
      </c>
      <c r="Y11" s="468">
        <f>C11*X11/100</f>
        <v>0.17649999999999999</v>
      </c>
      <c r="Z11" s="469">
        <f>'приложение 14'!R19/'приложение 14'!R17</f>
        <v>1</v>
      </c>
      <c r="AA11" s="468">
        <f>C11*Z11/100</f>
        <v>0.17649999999999999</v>
      </c>
      <c r="AB11" s="469">
        <f>'приложение 14'!S19/'приложение 14'!S17</f>
        <v>1</v>
      </c>
      <c r="AC11" s="468">
        <f>C11*AB11/100</f>
        <v>0.17649999999999999</v>
      </c>
      <c r="AD11" s="469">
        <f>'приложение 14'!T19/'приложение 14'!T17</f>
        <v>1</v>
      </c>
      <c r="AE11" s="468">
        <f>C11*AD11/100</f>
        <v>0.17649999999999999</v>
      </c>
      <c r="AF11" s="469">
        <f>'приложение 14'!U19/'приложение 14'!U17</f>
        <v>1</v>
      </c>
      <c r="AG11" s="468">
        <f>C11*AF11/100</f>
        <v>0.17649999999999999</v>
      </c>
      <c r="AH11" s="469">
        <f>'приложение 14'!V19/'приложение 14'!V17</f>
        <v>1</v>
      </c>
      <c r="AI11" s="468">
        <f>C11*AH11/100</f>
        <v>0.17649999999999999</v>
      </c>
      <c r="AJ11" s="469">
        <f>'приложение 14'!W19/'приложение 14'!W17</f>
        <v>1</v>
      </c>
      <c r="AK11" s="468">
        <f>C11*AJ11/100</f>
        <v>0.17649999999999999</v>
      </c>
      <c r="AL11" s="469">
        <f>'приложение 14'!X19/'приложение 14'!X17</f>
        <v>1</v>
      </c>
      <c r="AM11" s="468">
        <f>C11*AL11/100</f>
        <v>0.17649999999999999</v>
      </c>
      <c r="AN11" s="469">
        <f>'приложение 14'!Y19/'приложение 14'!Y17</f>
        <v>1</v>
      </c>
      <c r="AO11" s="468">
        <f>C11*AN11/100</f>
        <v>0.17649999999999999</v>
      </c>
      <c r="AP11" s="469">
        <f>'приложение 14'!Z19/'приложение 14'!Z17</f>
        <v>1</v>
      </c>
      <c r="AQ11" s="468">
        <f>C11*AP11/100</f>
        <v>0.17649999999999999</v>
      </c>
      <c r="AR11" s="469">
        <f>'приложение 14'!AA19/'приложение 14'!AA17</f>
        <v>1</v>
      </c>
      <c r="AS11" s="468">
        <f>C11*AR11/100</f>
        <v>0.17649999999999999</v>
      </c>
      <c r="AT11" s="469">
        <f>'приложение 14'!AB19/'приложение 14'!AB17</f>
        <v>1</v>
      </c>
      <c r="AU11" s="468">
        <f>C11*AT11/100</f>
        <v>0.17649999999999999</v>
      </c>
      <c r="AV11" s="469">
        <f>'приложение 14'!AC19/'приложение 14'!AC17</f>
        <v>1</v>
      </c>
      <c r="AW11" s="468">
        <f>C11*AV11/100</f>
        <v>0.17649999999999999</v>
      </c>
      <c r="AX11" s="469">
        <f>'приложение 14'!AD19/'приложение 14'!AD17</f>
        <v>1</v>
      </c>
      <c r="AY11" s="468">
        <f>C11*AX11/100</f>
        <v>0.17649999999999999</v>
      </c>
      <c r="AZ11" s="469">
        <f>'приложение 14'!AE19/'приложение 14'!AE17</f>
        <v>1</v>
      </c>
      <c r="BA11" s="468">
        <f>C11*AZ11/100</f>
        <v>0.17649999999999999</v>
      </c>
      <c r="BB11" s="469">
        <f>'приложение 14'!AF19/'приложение 14'!AF17</f>
        <v>1</v>
      </c>
      <c r="BC11" s="468">
        <f>C11*BB11/100</f>
        <v>0.17649999999999999</v>
      </c>
      <c r="BD11" s="469">
        <f>'приложение 14'!AG19/'приложение 14'!AG17</f>
        <v>1</v>
      </c>
      <c r="BE11" s="468">
        <f>C11*BD11/100</f>
        <v>0.17649999999999999</v>
      </c>
      <c r="BF11" s="469">
        <f>'приложение 14'!AH19/'приложение 14'!AH17</f>
        <v>1</v>
      </c>
      <c r="BG11" s="468">
        <f>C11*BF11/100</f>
        <v>0.17649999999999999</v>
      </c>
      <c r="BH11" s="469">
        <f>'приложение 14'!AI19/'приложение 14'!AI17</f>
        <v>1</v>
      </c>
      <c r="BI11" s="468">
        <f>C11*BH11/100</f>
        <v>0.17649999999999999</v>
      </c>
      <c r="BJ11" s="469">
        <f>'приложение 14'!AJ19/'приложение 14'!AJ17</f>
        <v>1</v>
      </c>
      <c r="BK11" s="468">
        <f>C11*BJ11/100</f>
        <v>0.17649999999999999</v>
      </c>
      <c r="BL11" s="604" t="s">
        <v>410</v>
      </c>
      <c r="BM11" s="2"/>
    </row>
    <row r="12" spans="1:65" ht="34.15" customHeight="1" thickBot="1" x14ac:dyDescent="0.25">
      <c r="A12" s="854" t="s">
        <v>411</v>
      </c>
      <c r="B12" s="855"/>
      <c r="C12" s="470">
        <v>50</v>
      </c>
      <c r="D12" s="353"/>
      <c r="E12" s="470">
        <f>C12*(E13+E14+E15+E16)</f>
        <v>31.25</v>
      </c>
      <c r="F12" s="471"/>
      <c r="G12" s="470">
        <f>C12*(G14+G13+G15+G16)</f>
        <v>40</v>
      </c>
      <c r="H12" s="471"/>
      <c r="I12" s="470">
        <f>C12*(I14+I13+I15+I16)</f>
        <v>44.375</v>
      </c>
      <c r="J12" s="471"/>
      <c r="K12" s="470">
        <f>C12*(K14+K13+K15+K16)</f>
        <v>17.5</v>
      </c>
      <c r="L12" s="471"/>
      <c r="M12" s="470">
        <f>C12*(M14+M13+M15+M16)</f>
        <v>25</v>
      </c>
      <c r="N12" s="471"/>
      <c r="O12" s="470">
        <f>C12*(O14+O13+O15+O16)</f>
        <v>26.249999999999996</v>
      </c>
      <c r="P12" s="472"/>
      <c r="Q12" s="470">
        <f>C12*(Q14+Q13+Q15+Q16)</f>
        <v>29.75</v>
      </c>
      <c r="R12" s="470"/>
      <c r="S12" s="470">
        <f>C12*(S14+S13+S15+S16)</f>
        <v>17.5</v>
      </c>
      <c r="T12" s="470"/>
      <c r="U12" s="470">
        <f>C12*(U14+U13+U15+U16)</f>
        <v>35</v>
      </c>
      <c r="V12" s="470"/>
      <c r="W12" s="470">
        <f>C12*(W14+W13+W15+W16)</f>
        <v>17.5</v>
      </c>
      <c r="X12" s="473"/>
      <c r="Y12" s="470">
        <f>C12*(Y14+Y13+Y15+Y16)</f>
        <v>40</v>
      </c>
      <c r="Z12" s="471"/>
      <c r="AA12" s="470">
        <f>C12*(AA14+AA13+AA15+AA16)</f>
        <v>22.499999999999996</v>
      </c>
      <c r="AB12" s="470"/>
      <c r="AC12" s="470">
        <f>C12*(AC14+AC13+AC15+AC16)</f>
        <v>22.499999999999996</v>
      </c>
      <c r="AD12" s="470"/>
      <c r="AE12" s="470">
        <f>C12*(AE14+AE13+AE15+AE16)</f>
        <v>22.499999999999996</v>
      </c>
      <c r="AF12" s="470"/>
      <c r="AG12" s="470">
        <f>C12*(AG14+AG13+AG15+AG16)</f>
        <v>22.499999999999996</v>
      </c>
      <c r="AH12" s="470"/>
      <c r="AI12" s="470">
        <f>C12*(AI14+AI13+AI15+AI16)</f>
        <v>22.499999999999996</v>
      </c>
      <c r="AJ12" s="470"/>
      <c r="AK12" s="470">
        <f>C12*(AK14+AK13+AK15+AK16)</f>
        <v>34.75</v>
      </c>
      <c r="AL12" s="470"/>
      <c r="AM12" s="470">
        <f>C12*(AM13+AM14+AM15+AM16)</f>
        <v>34.75</v>
      </c>
      <c r="AN12" s="470"/>
      <c r="AO12" s="470">
        <f>C12*(AO13+AO14+AO15+AO16)</f>
        <v>22.499999999999996</v>
      </c>
      <c r="AP12" s="470"/>
      <c r="AQ12" s="470">
        <f>C12*(AQ13+AQ14+AQ15+AQ16)</f>
        <v>40</v>
      </c>
      <c r="AR12" s="470"/>
      <c r="AS12" s="470">
        <f>C12*(AS13+AS14+AS15+AS16)</f>
        <v>40</v>
      </c>
      <c r="AT12" s="470"/>
      <c r="AU12" s="470">
        <f>C12*(AU13+AU14+AU15+AU16)</f>
        <v>40</v>
      </c>
      <c r="AV12" s="470"/>
      <c r="AW12" s="470">
        <f>C12*(AW13+AW14+AW15+AW16)</f>
        <v>31.25</v>
      </c>
      <c r="AX12" s="470"/>
      <c r="AY12" s="470">
        <f>C12*(AY13+AY14+AY15+AY16)</f>
        <v>40</v>
      </c>
      <c r="AZ12" s="470"/>
      <c r="BA12" s="470">
        <f>C12*(BA13+BA14+BA15+BA16)</f>
        <v>40</v>
      </c>
      <c r="BB12" s="470"/>
      <c r="BC12" s="470">
        <f>C12*(BC13+BC14+BC15+BC16)</f>
        <v>40</v>
      </c>
      <c r="BD12" s="470"/>
      <c r="BE12" s="470">
        <f>C12*(BE13+BE14+BE15+BE16)</f>
        <v>40</v>
      </c>
      <c r="BF12" s="470"/>
      <c r="BG12" s="470">
        <f>C12*(BG13+BG14+BG15+BG16)</f>
        <v>40</v>
      </c>
      <c r="BH12" s="470"/>
      <c r="BI12" s="470">
        <f>C12*(BI13+BI14+BI15+BI16)</f>
        <v>22.499999999999996</v>
      </c>
      <c r="BJ12" s="471"/>
      <c r="BK12" s="470">
        <f>C12*(BK14+BK13+BK15+BK16)</f>
        <v>22.499999999999996</v>
      </c>
      <c r="BL12" s="395"/>
      <c r="BM12" s="2"/>
    </row>
    <row r="13" spans="1:65" ht="180.6" customHeight="1" x14ac:dyDescent="0.2">
      <c r="A13" s="602" t="s">
        <v>121</v>
      </c>
      <c r="B13" s="368" t="s">
        <v>5</v>
      </c>
      <c r="C13" s="468">
        <v>15</v>
      </c>
      <c r="D13" s="468">
        <f>'приложение 14'!F21/'приложение 14'!F24</f>
        <v>1</v>
      </c>
      <c r="E13" s="468">
        <f>C13*D13/100</f>
        <v>0.15</v>
      </c>
      <c r="F13" s="468">
        <f>'приложение 14'!G21/'приложение 14'!G24</f>
        <v>1</v>
      </c>
      <c r="G13" s="468">
        <f>F13*C13/100</f>
        <v>0.15</v>
      </c>
      <c r="H13" s="468">
        <f>'приложение 14'!H21/'приложение 14'!H24</f>
        <v>1</v>
      </c>
      <c r="I13" s="468">
        <f>C13*H13/100</f>
        <v>0.15</v>
      </c>
      <c r="J13" s="468">
        <f>'приложение 14'!I21/'приложение 14'!I24</f>
        <v>1</v>
      </c>
      <c r="K13" s="468">
        <f>C13*J13/100</f>
        <v>0.15</v>
      </c>
      <c r="L13" s="468">
        <f>'приложение 14'!J21/'приложение 14'!J24</f>
        <v>1</v>
      </c>
      <c r="M13" s="468">
        <f>C13*L13/100</f>
        <v>0.15</v>
      </c>
      <c r="N13" s="468">
        <f>'приложение 14'!K21/'приложение 14'!K24</f>
        <v>1</v>
      </c>
      <c r="O13" s="468">
        <f>C13*N13/100</f>
        <v>0.15</v>
      </c>
      <c r="P13" s="468">
        <f>'приложение 14'!L21/'приложение 14'!L24</f>
        <v>1</v>
      </c>
      <c r="Q13" s="468">
        <f>C13*P13/100</f>
        <v>0.15</v>
      </c>
      <c r="R13" s="468">
        <f>'приложение 14'!M21/'приложение 14'!M24</f>
        <v>1</v>
      </c>
      <c r="S13" s="468">
        <f>C13*R13/100</f>
        <v>0.15</v>
      </c>
      <c r="T13" s="468">
        <f>'приложение 14'!N21/'приложение 14'!N24</f>
        <v>1</v>
      </c>
      <c r="U13" s="468">
        <f>C13*T13/100</f>
        <v>0.15</v>
      </c>
      <c r="V13" s="468">
        <f>'приложение 14'!P21/'приложение 14'!P24</f>
        <v>1</v>
      </c>
      <c r="W13" s="468">
        <f>C13*V13/100</f>
        <v>0.15</v>
      </c>
      <c r="X13" s="468">
        <f>'приложение 14'!Q21/'приложение 14'!Q24</f>
        <v>1</v>
      </c>
      <c r="Y13" s="468">
        <f>C13*X13/100</f>
        <v>0.15</v>
      </c>
      <c r="Z13" s="468">
        <f>'приложение 14'!R21/'приложение 14'!R24</f>
        <v>1</v>
      </c>
      <c r="AA13" s="468">
        <f>C13*Z13/100</f>
        <v>0.15</v>
      </c>
      <c r="AB13" s="468">
        <f>'приложение 14'!S21/'приложение 14'!S24</f>
        <v>1</v>
      </c>
      <c r="AC13" s="468">
        <f>C13*AB13/100</f>
        <v>0.15</v>
      </c>
      <c r="AD13" s="468">
        <f>'приложение 14'!T21/'приложение 14'!T24</f>
        <v>1</v>
      </c>
      <c r="AE13" s="468">
        <f>C13*AD13/100</f>
        <v>0.15</v>
      </c>
      <c r="AF13" s="468">
        <f>'приложение 14'!U21/'приложение 14'!U24</f>
        <v>1</v>
      </c>
      <c r="AG13" s="468">
        <f>C13*AF13/100</f>
        <v>0.15</v>
      </c>
      <c r="AH13" s="468">
        <f>'приложение 14'!V21/'приложение 14'!V24</f>
        <v>1</v>
      </c>
      <c r="AI13" s="468">
        <f>C13*AH13/100</f>
        <v>0.15</v>
      </c>
      <c r="AJ13" s="468">
        <f>'приложение 14'!W21/'приложение 14'!W24</f>
        <v>1</v>
      </c>
      <c r="AK13" s="468">
        <f>C13*AJ13/100</f>
        <v>0.15</v>
      </c>
      <c r="AL13" s="468">
        <f>'приложение 14'!X21/'приложение 14'!X24</f>
        <v>1</v>
      </c>
      <c r="AM13" s="468">
        <f>C13*AL13/100</f>
        <v>0.15</v>
      </c>
      <c r="AN13" s="468">
        <f>'приложение 14'!Y21/'приложение 14'!Y24</f>
        <v>1</v>
      </c>
      <c r="AO13" s="468">
        <f>C13*AN13/100</f>
        <v>0.15</v>
      </c>
      <c r="AP13" s="468">
        <f>'приложение 14'!Z21/'приложение 14'!Z24</f>
        <v>1</v>
      </c>
      <c r="AQ13" s="468">
        <f>C13*AP13/100</f>
        <v>0.15</v>
      </c>
      <c r="AR13" s="468">
        <f>'приложение 14'!AA21/'приложение 14'!AA24</f>
        <v>1</v>
      </c>
      <c r="AS13" s="468">
        <f>C13*AR13/100</f>
        <v>0.15</v>
      </c>
      <c r="AT13" s="468">
        <f>'приложение 14'!AB21/'приложение 14'!AB24</f>
        <v>1</v>
      </c>
      <c r="AU13" s="468">
        <f>C13*AT13/100</f>
        <v>0.15</v>
      </c>
      <c r="AV13" s="468">
        <f>'приложение 14'!AC21/'приложение 14'!AC24</f>
        <v>1</v>
      </c>
      <c r="AW13" s="468">
        <f>C13*AV13/100</f>
        <v>0.15</v>
      </c>
      <c r="AX13" s="468">
        <f>'приложение 14'!AD21/'приложение 14'!AD24</f>
        <v>1</v>
      </c>
      <c r="AY13" s="468">
        <f>C13*AX13/100</f>
        <v>0.15</v>
      </c>
      <c r="AZ13" s="468">
        <f>'приложение 14'!AE21/'приложение 14'!AE24</f>
        <v>1</v>
      </c>
      <c r="BA13" s="468">
        <f>C13*AZ13/100</f>
        <v>0.15</v>
      </c>
      <c r="BB13" s="468">
        <f>'приложение 14'!AF21/'приложение 14'!AF24</f>
        <v>1</v>
      </c>
      <c r="BC13" s="468">
        <f>C13*BB13/100</f>
        <v>0.15</v>
      </c>
      <c r="BD13" s="468">
        <f>'приложение 14'!AG21/'приложение 14'!AG24</f>
        <v>1</v>
      </c>
      <c r="BE13" s="468">
        <f>C13*BD13/100</f>
        <v>0.15</v>
      </c>
      <c r="BF13" s="468">
        <f>'приложение 14'!AH21/'приложение 14'!AH24</f>
        <v>1</v>
      </c>
      <c r="BG13" s="468">
        <f>C13*BF13/100</f>
        <v>0.15</v>
      </c>
      <c r="BH13" s="468">
        <f>'приложение 14'!AI21/'приложение 14'!AI24</f>
        <v>1</v>
      </c>
      <c r="BI13" s="468">
        <f>C13*BH13/100</f>
        <v>0.15</v>
      </c>
      <c r="BJ13" s="468">
        <f>'приложение 14'!AJ21/'приложение 14'!AJ24</f>
        <v>1</v>
      </c>
      <c r="BK13" s="468">
        <f>C13*BJ13/100</f>
        <v>0.15</v>
      </c>
      <c r="BL13" s="480" t="s">
        <v>127</v>
      </c>
      <c r="BM13" s="2"/>
    </row>
    <row r="14" spans="1:65" ht="218.25" customHeight="1" x14ac:dyDescent="0.2">
      <c r="A14" s="603" t="s">
        <v>122</v>
      </c>
      <c r="B14" s="368" t="s">
        <v>5</v>
      </c>
      <c r="C14" s="469">
        <v>30</v>
      </c>
      <c r="D14" s="469">
        <f>'приложение 14'!F23/'приложение 14'!F21</f>
        <v>1</v>
      </c>
      <c r="E14" s="468">
        <f>C14*D14/100</f>
        <v>0.3</v>
      </c>
      <c r="F14" s="469">
        <f>'приложение 14'!G23/'приложение 14'!G21</f>
        <v>1</v>
      </c>
      <c r="G14" s="468">
        <f>F14*C14/100</f>
        <v>0.3</v>
      </c>
      <c r="H14" s="469">
        <f>'приложение 14'!H23/'приложение 14'!H21</f>
        <v>1</v>
      </c>
      <c r="I14" s="468">
        <f>C14*H14/100</f>
        <v>0.3</v>
      </c>
      <c r="J14" s="469">
        <f>'приложение 14'!I23/'приложение 14'!I21</f>
        <v>0</v>
      </c>
      <c r="K14" s="468">
        <f>C14*J14/100</f>
        <v>0</v>
      </c>
      <c r="L14" s="469">
        <f>'приложение 14'!J23/'приложение 14'!J21</f>
        <v>0</v>
      </c>
      <c r="M14" s="468">
        <f>C14*L14/100</f>
        <v>0</v>
      </c>
      <c r="N14" s="469">
        <f>'приложение 14'!K23/'приложение 14'!K21</f>
        <v>0</v>
      </c>
      <c r="O14" s="468">
        <f>C14*N14/100</f>
        <v>0</v>
      </c>
      <c r="P14" s="468">
        <f>'приложение 14'!L23/'приложение 14'!L21</f>
        <v>0</v>
      </c>
      <c r="Q14" s="468">
        <f>C14*P14/100</f>
        <v>0</v>
      </c>
      <c r="R14" s="468">
        <f>'приложение 14'!M23/'приложение 14'!M21</f>
        <v>0</v>
      </c>
      <c r="S14" s="468">
        <f>C14*R14/100</f>
        <v>0</v>
      </c>
      <c r="T14" s="468">
        <f>'приложение 14'!N23/'приложение 14'!N21</f>
        <v>0</v>
      </c>
      <c r="U14" s="468">
        <f>C14*T14/100</f>
        <v>0</v>
      </c>
      <c r="V14" s="468">
        <f>'приложение 14'!P23/'приложение 14'!P21</f>
        <v>0</v>
      </c>
      <c r="W14" s="468">
        <f>C14*V14/100</f>
        <v>0</v>
      </c>
      <c r="X14" s="469">
        <f>'приложение 14'!Q23/'приложение 14'!Q21</f>
        <v>1</v>
      </c>
      <c r="Y14" s="468">
        <f>C14*X14/100</f>
        <v>0.3</v>
      </c>
      <c r="Z14" s="469">
        <f>'приложение 14'!R23/'приложение 14'!R21</f>
        <v>1</v>
      </c>
      <c r="AA14" s="468">
        <f>C14*Z14/100</f>
        <v>0.3</v>
      </c>
      <c r="AB14" s="468">
        <f>'приложение 14'!S23/'приложение 14'!S21</f>
        <v>1</v>
      </c>
      <c r="AC14" s="468">
        <f>C14*AB14/100</f>
        <v>0.3</v>
      </c>
      <c r="AD14" s="468">
        <f>'приложение 14'!T23/'приложение 14'!T21</f>
        <v>1</v>
      </c>
      <c r="AE14" s="468">
        <f>C14*AD14/100</f>
        <v>0.3</v>
      </c>
      <c r="AF14" s="468">
        <f>'приложение 14'!U23/'приложение 14'!U21</f>
        <v>1</v>
      </c>
      <c r="AG14" s="468">
        <f>C14*AF14/100</f>
        <v>0.3</v>
      </c>
      <c r="AH14" s="468">
        <f>'приложение 14'!V23/'приложение 14'!V21</f>
        <v>1</v>
      </c>
      <c r="AI14" s="468">
        <f>C14*AH14/100</f>
        <v>0.3</v>
      </c>
      <c r="AJ14" s="468">
        <f>'приложение 14'!W23/'приложение 14'!W21</f>
        <v>1</v>
      </c>
      <c r="AK14" s="468">
        <f>C14*AJ14/100</f>
        <v>0.3</v>
      </c>
      <c r="AL14" s="469">
        <f>'приложение 14'!X23/'приложение 14'!X21</f>
        <v>1</v>
      </c>
      <c r="AM14" s="468">
        <f>C14*AL14/100</f>
        <v>0.3</v>
      </c>
      <c r="AN14" s="468">
        <f>'приложение 14'!Y23/'приложение 14'!Y21</f>
        <v>1</v>
      </c>
      <c r="AO14" s="468">
        <f>C14*AN14/100</f>
        <v>0.3</v>
      </c>
      <c r="AP14" s="468">
        <f>'приложение 14'!Z23/'приложение 14'!Z21</f>
        <v>1</v>
      </c>
      <c r="AQ14" s="468">
        <f>C14*AP14/100</f>
        <v>0.3</v>
      </c>
      <c r="AR14" s="468">
        <f>'приложение 14'!AA23/'приложение 14'!AA21</f>
        <v>1</v>
      </c>
      <c r="AS14" s="468">
        <f>C14*AR14/100</f>
        <v>0.3</v>
      </c>
      <c r="AT14" s="468">
        <f>'приложение 14'!AB23/'приложение 14'!AB21</f>
        <v>1</v>
      </c>
      <c r="AU14" s="468">
        <f>C14*AT14/100</f>
        <v>0.3</v>
      </c>
      <c r="AV14" s="468">
        <f>'приложение 14'!AC23/'приложение 14'!AC21</f>
        <v>1</v>
      </c>
      <c r="AW14" s="468">
        <f>C14*AV14/100</f>
        <v>0.3</v>
      </c>
      <c r="AX14" s="468">
        <f>'приложение 14'!AD23/'приложение 14'!AD21</f>
        <v>1</v>
      </c>
      <c r="AY14" s="468">
        <f>C14*AX14/100</f>
        <v>0.3</v>
      </c>
      <c r="AZ14" s="468">
        <f>'приложение 14'!AE23/'приложение 14'!AE21</f>
        <v>1</v>
      </c>
      <c r="BA14" s="468">
        <f>C14*AZ14/100</f>
        <v>0.3</v>
      </c>
      <c r="BB14" s="468">
        <f>'приложение 14'!AF23/'приложение 14'!AF21</f>
        <v>1</v>
      </c>
      <c r="BC14" s="468">
        <f>C14*BB14/100</f>
        <v>0.3</v>
      </c>
      <c r="BD14" s="468">
        <f>'приложение 14'!AG23/'приложение 14'!AG21</f>
        <v>1</v>
      </c>
      <c r="BE14" s="468">
        <f>C14*BD14/100</f>
        <v>0.3</v>
      </c>
      <c r="BF14" s="468">
        <f>'приложение 14'!AH23/'приложение 14'!AH21</f>
        <v>1</v>
      </c>
      <c r="BG14" s="468">
        <f>C14*BF14/100</f>
        <v>0.3</v>
      </c>
      <c r="BH14" s="468">
        <f>'приложение 14'!AI23/'приложение 14'!AI21</f>
        <v>1</v>
      </c>
      <c r="BI14" s="468">
        <f>C14*BH14/100</f>
        <v>0.3</v>
      </c>
      <c r="BJ14" s="469">
        <f>'приложение 14'!AJ23/'приложение 14'!AJ21</f>
        <v>1</v>
      </c>
      <c r="BK14" s="468">
        <f>C14*BJ14/100</f>
        <v>0.3</v>
      </c>
      <c r="BL14" s="604" t="s">
        <v>642</v>
      </c>
      <c r="BM14" s="2"/>
    </row>
    <row r="15" spans="1:65" ht="218.25" customHeight="1" x14ac:dyDescent="0.2">
      <c r="A15" s="603" t="s">
        <v>226</v>
      </c>
      <c r="B15" s="368" t="s">
        <v>5</v>
      </c>
      <c r="C15" s="469">
        <v>35</v>
      </c>
      <c r="D15" s="469">
        <f>'приложение 14'!F33</f>
        <v>0.5</v>
      </c>
      <c r="E15" s="469">
        <f>C15*D15/100</f>
        <v>0.17499999999999999</v>
      </c>
      <c r="F15" s="469">
        <f>'приложение 14'!G33</f>
        <v>1</v>
      </c>
      <c r="G15" s="468">
        <f>C15*F15/100</f>
        <v>0.35</v>
      </c>
      <c r="H15" s="469">
        <f>'приложение 14'!H33</f>
        <v>1</v>
      </c>
      <c r="I15" s="468">
        <f>43.75*H15/100</f>
        <v>0.4375</v>
      </c>
      <c r="J15" s="469">
        <f>'приложение 14'!I33</f>
        <v>0</v>
      </c>
      <c r="K15" s="468">
        <f>C15*J15/100</f>
        <v>0</v>
      </c>
      <c r="L15" s="469">
        <f>'приложение 14'!J33</f>
        <v>1</v>
      </c>
      <c r="M15" s="468">
        <f>C15*L15/100</f>
        <v>0.35</v>
      </c>
      <c r="N15" s="469">
        <f>'приложение 14'!K33</f>
        <v>0.5</v>
      </c>
      <c r="O15" s="468">
        <f>C15*N15/100</f>
        <v>0.17499999999999999</v>
      </c>
      <c r="P15" s="468">
        <f>'приложение 14'!L33</f>
        <v>0.7</v>
      </c>
      <c r="Q15" s="468">
        <f>C15*P15/100</f>
        <v>0.245</v>
      </c>
      <c r="R15" s="468">
        <f>'приложение 14'!M33</f>
        <v>0</v>
      </c>
      <c r="S15" s="468">
        <f>C15*R15/100</f>
        <v>0</v>
      </c>
      <c r="T15" s="468">
        <f>'приложение 14'!N33</f>
        <v>1</v>
      </c>
      <c r="U15" s="468">
        <f>C15*T15/100</f>
        <v>0.35</v>
      </c>
      <c r="V15" s="468">
        <f>'приложение 14'!P33</f>
        <v>0</v>
      </c>
      <c r="W15" s="468">
        <f>C15*V15/100</f>
        <v>0</v>
      </c>
      <c r="X15" s="469">
        <f>'приложение 14'!Q33</f>
        <v>1</v>
      </c>
      <c r="Y15" s="468">
        <f>C15*X15/100</f>
        <v>0.35</v>
      </c>
      <c r="Z15" s="469">
        <f>'приложение 14'!R33</f>
        <v>0</v>
      </c>
      <c r="AA15" s="468">
        <f>C15*Z15/100</f>
        <v>0</v>
      </c>
      <c r="AB15" s="469">
        <f>'приложение 14'!S33</f>
        <v>0</v>
      </c>
      <c r="AC15" s="468">
        <f>C15*AB15/100</f>
        <v>0</v>
      </c>
      <c r="AD15" s="469">
        <f>'приложение 14'!T33</f>
        <v>0</v>
      </c>
      <c r="AE15" s="468">
        <f>C15*AD15/100</f>
        <v>0</v>
      </c>
      <c r="AF15" s="469">
        <f>'приложение 14'!U33</f>
        <v>0</v>
      </c>
      <c r="AG15" s="468">
        <f>C15*AF15/100</f>
        <v>0</v>
      </c>
      <c r="AH15" s="469">
        <f>'приложение 14'!V33</f>
        <v>0</v>
      </c>
      <c r="AI15" s="468">
        <f>C15*AH15/100</f>
        <v>0</v>
      </c>
      <c r="AJ15" s="469">
        <f>'приложение 14'!W33</f>
        <v>0.7</v>
      </c>
      <c r="AK15" s="468">
        <f>C15*AJ15/100</f>
        <v>0.245</v>
      </c>
      <c r="AL15" s="468">
        <f>'приложение 14'!X33</f>
        <v>0.7</v>
      </c>
      <c r="AM15" s="468">
        <f>C15*AL15/100</f>
        <v>0.245</v>
      </c>
      <c r="AN15" s="468">
        <f>'приложение 14'!Y33</f>
        <v>0</v>
      </c>
      <c r="AO15" s="468">
        <f>C15*AN15/100</f>
        <v>0</v>
      </c>
      <c r="AP15" s="468">
        <f>'приложение 14'!Z33</f>
        <v>1</v>
      </c>
      <c r="AQ15" s="468">
        <f>C15*AP15/100</f>
        <v>0.35</v>
      </c>
      <c r="AR15" s="468">
        <f>'приложение 14'!AA33</f>
        <v>1</v>
      </c>
      <c r="AS15" s="468">
        <f>C15*AR15/100</f>
        <v>0.35</v>
      </c>
      <c r="AT15" s="468">
        <f>'приложение 14'!AB33</f>
        <v>1</v>
      </c>
      <c r="AU15" s="468">
        <f>C15*AT15/100</f>
        <v>0.35</v>
      </c>
      <c r="AV15" s="468">
        <f>'приложение 14'!AC33</f>
        <v>0.5</v>
      </c>
      <c r="AW15" s="468">
        <f>C15*AV15/100</f>
        <v>0.17499999999999999</v>
      </c>
      <c r="AX15" s="468">
        <f>'приложение 14'!AD33</f>
        <v>1</v>
      </c>
      <c r="AY15" s="468">
        <f>C15*AX15/100</f>
        <v>0.35</v>
      </c>
      <c r="AZ15" s="468">
        <f>'приложение 14'!AE33</f>
        <v>1</v>
      </c>
      <c r="BA15" s="468">
        <f>C15*AZ15/100</f>
        <v>0.35</v>
      </c>
      <c r="BB15" s="468">
        <f>'приложение 14'!AF33</f>
        <v>1</v>
      </c>
      <c r="BC15" s="468">
        <f>C15*BB15/100</f>
        <v>0.35</v>
      </c>
      <c r="BD15" s="468">
        <f>'приложение 14'!AG33</f>
        <v>1</v>
      </c>
      <c r="BE15" s="468">
        <f>C15*BD15/100</f>
        <v>0.35</v>
      </c>
      <c r="BF15" s="468">
        <f>'приложение 14'!AH33</f>
        <v>1</v>
      </c>
      <c r="BG15" s="468">
        <f>C15*BF15/100</f>
        <v>0.35</v>
      </c>
      <c r="BH15" s="468">
        <f>'приложение 14'!AI33</f>
        <v>0</v>
      </c>
      <c r="BI15" s="468">
        <f>C15*BH15/100</f>
        <v>0</v>
      </c>
      <c r="BJ15" s="469">
        <f>'приложение 14'!AJ33</f>
        <v>0</v>
      </c>
      <c r="BK15" s="468">
        <f>C15*BJ15/100</f>
        <v>0</v>
      </c>
      <c r="BL15" s="604" t="s">
        <v>643</v>
      </c>
      <c r="BM15" s="2"/>
    </row>
    <row r="16" spans="1:65" ht="234.75" customHeight="1" x14ac:dyDescent="0.2">
      <c r="A16" s="603" t="s">
        <v>648</v>
      </c>
      <c r="B16" s="368" t="s">
        <v>5</v>
      </c>
      <c r="C16" s="469">
        <v>20</v>
      </c>
      <c r="D16" s="469">
        <f>'приложение 14'!F29</f>
        <v>0</v>
      </c>
      <c r="E16" s="469">
        <f>C16*D16/100</f>
        <v>0</v>
      </c>
      <c r="F16" s="469">
        <f>'приложение 14'!G29</f>
        <v>0</v>
      </c>
      <c r="G16" s="468">
        <f>F16*C16/100</f>
        <v>0</v>
      </c>
      <c r="H16" s="469">
        <f>'приложение 14'!H29</f>
        <v>0</v>
      </c>
      <c r="I16" s="468">
        <f>C16*H16/100</f>
        <v>0</v>
      </c>
      <c r="J16" s="469">
        <f>'приложение 14'!I29</f>
        <v>1</v>
      </c>
      <c r="K16" s="468">
        <f>C16*J16/100</f>
        <v>0.2</v>
      </c>
      <c r="L16" s="469">
        <f>'приложение 14'!J29</f>
        <v>0</v>
      </c>
      <c r="M16" s="468">
        <f>C16*L16/100</f>
        <v>0</v>
      </c>
      <c r="N16" s="469">
        <f>'приложение 14'!K29</f>
        <v>1</v>
      </c>
      <c r="O16" s="468">
        <f>C16*N16/100</f>
        <v>0.2</v>
      </c>
      <c r="P16" s="468">
        <f>'приложение 14'!L29</f>
        <v>1</v>
      </c>
      <c r="Q16" s="468">
        <f>C16*P16/100</f>
        <v>0.2</v>
      </c>
      <c r="R16" s="468">
        <f>'приложение 14'!M29</f>
        <v>1</v>
      </c>
      <c r="S16" s="468">
        <f>C16*R16/100</f>
        <v>0.2</v>
      </c>
      <c r="T16" s="468">
        <f>'приложение 14'!N29</f>
        <v>1</v>
      </c>
      <c r="U16" s="468">
        <f>C16*T16/100</f>
        <v>0.2</v>
      </c>
      <c r="V16" s="468">
        <f>'приложение 14'!P29</f>
        <v>1</v>
      </c>
      <c r="W16" s="468">
        <f>C16*V16/100</f>
        <v>0.2</v>
      </c>
      <c r="X16" s="469">
        <f>'приложение 14'!Q29</f>
        <v>0</v>
      </c>
      <c r="Y16" s="468">
        <f>X16*C16/100</f>
        <v>0</v>
      </c>
      <c r="Z16" s="469">
        <f>'приложение 14'!R29</f>
        <v>0</v>
      </c>
      <c r="AA16" s="468">
        <f>C16*Z16/100</f>
        <v>0</v>
      </c>
      <c r="AB16" s="469">
        <f>'приложение 14'!S29</f>
        <v>0</v>
      </c>
      <c r="AC16" s="468">
        <f>C16*AB16/100</f>
        <v>0</v>
      </c>
      <c r="AD16" s="469">
        <f>'приложение 14'!T29</f>
        <v>0</v>
      </c>
      <c r="AE16" s="468">
        <f>C16*AD16/100</f>
        <v>0</v>
      </c>
      <c r="AF16" s="469">
        <f>'приложение 14'!U29</f>
        <v>0</v>
      </c>
      <c r="AG16" s="468">
        <f>C16*AF16/100</f>
        <v>0</v>
      </c>
      <c r="AH16" s="469">
        <f>'приложение 14'!V29</f>
        <v>0</v>
      </c>
      <c r="AI16" s="468">
        <f>C16*AH16/100</f>
        <v>0</v>
      </c>
      <c r="AJ16" s="469">
        <f>'приложение 14'!W29</f>
        <v>0</v>
      </c>
      <c r="AK16" s="468">
        <f>C16*AJ16/100</f>
        <v>0</v>
      </c>
      <c r="AL16" s="468">
        <f>'приложение 14'!X29</f>
        <v>0</v>
      </c>
      <c r="AM16" s="468">
        <f>C16*AL16/100</f>
        <v>0</v>
      </c>
      <c r="AN16" s="468">
        <f>'приложение 14'!Y29</f>
        <v>0</v>
      </c>
      <c r="AO16" s="468">
        <f>C16*AN16/100</f>
        <v>0</v>
      </c>
      <c r="AP16" s="468">
        <f>'приложение 14'!Z29</f>
        <v>0</v>
      </c>
      <c r="AQ16" s="468">
        <f>C16*AP16/100</f>
        <v>0</v>
      </c>
      <c r="AR16" s="468">
        <f>'приложение 14'!AA29</f>
        <v>0</v>
      </c>
      <c r="AS16" s="468">
        <f>C16*AR16/100</f>
        <v>0</v>
      </c>
      <c r="AT16" s="468">
        <f>'приложение 14'!AB29</f>
        <v>0</v>
      </c>
      <c r="AU16" s="468">
        <f>C16*AT16/100</f>
        <v>0</v>
      </c>
      <c r="AV16" s="468">
        <f>'приложение 14'!AC29</f>
        <v>0</v>
      </c>
      <c r="AW16" s="468">
        <f>C16*AV16/100</f>
        <v>0</v>
      </c>
      <c r="AX16" s="468">
        <f>'приложение 14'!AD29</f>
        <v>0</v>
      </c>
      <c r="AY16" s="468">
        <f>C16*AX16/100</f>
        <v>0</v>
      </c>
      <c r="AZ16" s="468">
        <f>'приложение 14'!AE29</f>
        <v>0</v>
      </c>
      <c r="BA16" s="468">
        <f>C16*AZ16/100</f>
        <v>0</v>
      </c>
      <c r="BB16" s="468">
        <f>'приложение 14'!AF29</f>
        <v>0</v>
      </c>
      <c r="BC16" s="468">
        <f>C16*BB16/100</f>
        <v>0</v>
      </c>
      <c r="BD16" s="468">
        <f>'приложение 14'!AG29</f>
        <v>0</v>
      </c>
      <c r="BE16" s="468">
        <f>C16*BD16/100</f>
        <v>0</v>
      </c>
      <c r="BF16" s="468">
        <f>'приложение 14'!AH29</f>
        <v>0</v>
      </c>
      <c r="BG16" s="468">
        <f>C16*BF16/100</f>
        <v>0</v>
      </c>
      <c r="BH16" s="468">
        <f>'приложение 14'!AI29</f>
        <v>0</v>
      </c>
      <c r="BI16" s="468">
        <f>C16*BH16/100</f>
        <v>0</v>
      </c>
      <c r="BJ16" s="469">
        <f>'приложение 14'!AJ29</f>
        <v>0</v>
      </c>
      <c r="BK16" s="468">
        <f>C16*BJ16/100</f>
        <v>0</v>
      </c>
      <c r="BL16" s="604" t="s">
        <v>649</v>
      </c>
      <c r="BM16" s="2"/>
    </row>
    <row r="17" spans="1:65" ht="26.65" customHeight="1" x14ac:dyDescent="0.2">
      <c r="A17" s="856" t="s">
        <v>11</v>
      </c>
      <c r="B17" s="856"/>
      <c r="C17" s="394"/>
      <c r="D17" s="469"/>
      <c r="E17" s="474">
        <f>E7+E12</f>
        <v>81.25</v>
      </c>
      <c r="F17" s="474"/>
      <c r="G17" s="474">
        <f>G7+G12</f>
        <v>90</v>
      </c>
      <c r="H17" s="474"/>
      <c r="I17" s="474">
        <f>I7+I12</f>
        <v>94.375</v>
      </c>
      <c r="J17" s="474"/>
      <c r="K17" s="474">
        <f>K7+K12</f>
        <v>67.5</v>
      </c>
      <c r="L17" s="474"/>
      <c r="M17" s="474">
        <f>M7+M12</f>
        <v>75</v>
      </c>
      <c r="N17" s="474"/>
      <c r="O17" s="474">
        <f>O7+O12</f>
        <v>76.249999999999986</v>
      </c>
      <c r="P17" s="474"/>
      <c r="Q17" s="474">
        <f>Q7+Q12</f>
        <v>79.75</v>
      </c>
      <c r="R17" s="474"/>
      <c r="S17" s="474">
        <f>S7+S12</f>
        <v>67.5</v>
      </c>
      <c r="T17" s="474"/>
      <c r="U17" s="474">
        <f>U7+U12</f>
        <v>85</v>
      </c>
      <c r="V17" s="474"/>
      <c r="W17" s="474">
        <f>W7+W12</f>
        <v>67.5</v>
      </c>
      <c r="X17" s="474"/>
      <c r="Y17" s="474">
        <f>Y7+Y12</f>
        <v>90</v>
      </c>
      <c r="Z17" s="474"/>
      <c r="AA17" s="474">
        <f>AA7+AA12</f>
        <v>72.499999999999986</v>
      </c>
      <c r="AB17" s="474"/>
      <c r="AC17" s="474">
        <f>AC7+AC12</f>
        <v>72.499999999999986</v>
      </c>
      <c r="AD17" s="474"/>
      <c r="AE17" s="474">
        <f>AE7+AE12</f>
        <v>72.499999999999986</v>
      </c>
      <c r="AF17" s="474"/>
      <c r="AG17" s="474">
        <f>AG7+AG12</f>
        <v>72.499999999999986</v>
      </c>
      <c r="AH17" s="474"/>
      <c r="AI17" s="474">
        <f>AI7+AI12</f>
        <v>72.499999999999986</v>
      </c>
      <c r="AJ17" s="474"/>
      <c r="AK17" s="474">
        <f>AK7+AK12</f>
        <v>84.75</v>
      </c>
      <c r="AL17" s="474"/>
      <c r="AM17" s="474">
        <f>AM7+AM12</f>
        <v>84.75</v>
      </c>
      <c r="AN17" s="474"/>
      <c r="AO17" s="474">
        <f>AO7+AO12</f>
        <v>72.499999999999986</v>
      </c>
      <c r="AP17" s="474"/>
      <c r="AQ17" s="474">
        <f>AQ7+AQ12</f>
        <v>90</v>
      </c>
      <c r="AR17" s="474"/>
      <c r="AS17" s="474">
        <f>AS7+AS12</f>
        <v>90</v>
      </c>
      <c r="AT17" s="474"/>
      <c r="AU17" s="474">
        <f>AU7+AU12</f>
        <v>90</v>
      </c>
      <c r="AV17" s="474"/>
      <c r="AW17" s="474">
        <f>AW7+AW12</f>
        <v>81.25</v>
      </c>
      <c r="AX17" s="474"/>
      <c r="AY17" s="474">
        <f>AY7+AY12</f>
        <v>90</v>
      </c>
      <c r="AZ17" s="474"/>
      <c r="BA17" s="474">
        <f>BA7+BA12</f>
        <v>90</v>
      </c>
      <c r="BB17" s="474"/>
      <c r="BC17" s="474">
        <f>BC7+BC12</f>
        <v>90</v>
      </c>
      <c r="BD17" s="474"/>
      <c r="BE17" s="474">
        <f>BE7+BE12</f>
        <v>90</v>
      </c>
      <c r="BF17" s="474"/>
      <c r="BG17" s="474">
        <f>BG7+BG12</f>
        <v>90</v>
      </c>
      <c r="BH17" s="474"/>
      <c r="BI17" s="474">
        <f>BI7+BI12</f>
        <v>72.499999999999986</v>
      </c>
      <c r="BJ17" s="474"/>
      <c r="BK17" s="474">
        <f>BK7+BK12</f>
        <v>72.499999999999986</v>
      </c>
      <c r="BL17" s="396"/>
      <c r="BM17" s="2"/>
    </row>
    <row r="18" spans="1:65"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row>
    <row r="19" spans="1:65" ht="45" customHeight="1" x14ac:dyDescent="0.2">
      <c r="A19" s="853" t="s">
        <v>149</v>
      </c>
      <c r="B19" s="853"/>
      <c r="C19" s="853"/>
      <c r="D19" s="853"/>
      <c r="E19" s="853"/>
      <c r="F19" s="853"/>
      <c r="G19" s="853"/>
      <c r="H19" s="853"/>
      <c r="I19" s="853"/>
      <c r="J19" s="853"/>
    </row>
    <row r="21" spans="1:65" ht="18.75" x14ac:dyDescent="0.3">
      <c r="A21" s="178" t="s">
        <v>132</v>
      </c>
      <c r="B21" s="179">
        <f>(E17+G17+I17+K17+M17+O17+Q17+S17+U17+W17+Y17+AA17+AC17+AE17+AG17+AI17+AK17+AM17+AO17+AQ17+AS17+AU17+AW17+AY17+BA17+BC17+BE17+BG17+BI17+BK17)/30</f>
        <v>80.829166666666666</v>
      </c>
      <c r="C21" s="178"/>
      <c r="D21" s="178"/>
      <c r="E21" s="178"/>
    </row>
    <row r="23" spans="1:65" ht="18" customHeight="1" x14ac:dyDescent="0.2">
      <c r="A23" s="852"/>
      <c r="B23" s="852"/>
      <c r="C23" s="852"/>
      <c r="D23" s="852"/>
      <c r="E23" s="852"/>
      <c r="F23" s="852"/>
      <c r="G23" s="852"/>
      <c r="H23" s="852"/>
      <c r="I23" s="852"/>
      <c r="J23" s="852"/>
      <c r="K23" s="852"/>
    </row>
    <row r="24" spans="1:65" x14ac:dyDescent="0.2">
      <c r="A24" s="852"/>
      <c r="B24" s="852"/>
      <c r="C24" s="852"/>
      <c r="D24" s="852"/>
      <c r="E24" s="852"/>
      <c r="F24" s="852"/>
      <c r="G24" s="852"/>
      <c r="H24" s="852"/>
      <c r="I24" s="852"/>
      <c r="J24" s="852"/>
      <c r="K24" s="852"/>
    </row>
    <row r="25" spans="1:65" x14ac:dyDescent="0.2">
      <c r="A25" s="852"/>
      <c r="B25" s="852"/>
      <c r="C25" s="852"/>
      <c r="D25" s="852"/>
      <c r="E25" s="852"/>
      <c r="F25" s="852"/>
      <c r="G25" s="852"/>
      <c r="H25" s="852"/>
      <c r="I25" s="852"/>
      <c r="J25" s="852"/>
      <c r="K25" s="852"/>
    </row>
    <row r="26" spans="1:65" ht="30.6" customHeight="1" x14ac:dyDescent="0.2">
      <c r="A26" s="852"/>
      <c r="B26" s="852"/>
      <c r="C26" s="852"/>
      <c r="D26" s="852"/>
      <c r="E26" s="852"/>
      <c r="F26" s="852"/>
      <c r="G26" s="852"/>
      <c r="H26" s="852"/>
      <c r="I26" s="852"/>
      <c r="J26" s="852"/>
      <c r="K26" s="852"/>
    </row>
  </sheetData>
  <mergeCells count="41">
    <mergeCell ref="BH5:BI5"/>
    <mergeCell ref="BD5:BE5"/>
    <mergeCell ref="BF5:BG5"/>
    <mergeCell ref="AJ5:AK5"/>
    <mergeCell ref="AN5:AO5"/>
    <mergeCell ref="AP5:AQ5"/>
    <mergeCell ref="AR5:AS5"/>
    <mergeCell ref="AT5:AU5"/>
    <mergeCell ref="AV5:AW5"/>
    <mergeCell ref="AX5:AY5"/>
    <mergeCell ref="P5:Q5"/>
    <mergeCell ref="R5:S5"/>
    <mergeCell ref="T5:U5"/>
    <mergeCell ref="V5:W5"/>
    <mergeCell ref="BB5:BC5"/>
    <mergeCell ref="AB5:AC5"/>
    <mergeCell ref="AD5:AE5"/>
    <mergeCell ref="AF5:AG5"/>
    <mergeCell ref="AH5:AI5"/>
    <mergeCell ref="A7:B7"/>
    <mergeCell ref="L5:M5"/>
    <mergeCell ref="A23:K26"/>
    <mergeCell ref="A19:J19"/>
    <mergeCell ref="A12:B12"/>
    <mergeCell ref="A17:B17"/>
    <mergeCell ref="A2:BL2"/>
    <mergeCell ref="A4:A5"/>
    <mergeCell ref="B4:B6"/>
    <mergeCell ref="C4:C6"/>
    <mergeCell ref="BL4:BL5"/>
    <mergeCell ref="F5:G5"/>
    <mergeCell ref="H5:I5"/>
    <mergeCell ref="J5:K5"/>
    <mergeCell ref="X5:Y5"/>
    <mergeCell ref="Z5:AA5"/>
    <mergeCell ref="BJ5:BK5"/>
    <mergeCell ref="N5:O5"/>
    <mergeCell ref="D5:E5"/>
    <mergeCell ref="D4:BK4"/>
    <mergeCell ref="AL5:AM5"/>
    <mergeCell ref="AZ5:BA5"/>
  </mergeCells>
  <pageMargins left="0.31496062992125984" right="0" top="0.15748031496062992" bottom="0.15748031496062992" header="0" footer="0"/>
  <pageSetup paperSize="9" scale="1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99"/>
  <sheetViews>
    <sheetView topLeftCell="A73" workbookViewId="0">
      <selection activeCell="D98" sqref="D98:F98"/>
    </sheetView>
  </sheetViews>
  <sheetFormatPr defaultColWidth="8.85546875" defaultRowHeight="12.75" x14ac:dyDescent="0.2"/>
  <cols>
    <col min="1" max="1" width="1.140625" style="2" customWidth="1"/>
    <col min="2" max="2" width="37.7109375" style="2" customWidth="1"/>
    <col min="3" max="3" width="11.5703125" style="2" customWidth="1"/>
    <col min="4" max="4" width="19.28515625" style="2" customWidth="1"/>
    <col min="5" max="5" width="23.7109375" style="2" customWidth="1"/>
    <col min="6" max="6" width="8.85546875" style="2"/>
    <col min="7" max="7" width="13.5703125" style="2" customWidth="1"/>
    <col min="8" max="8" width="14.7109375" style="2" customWidth="1"/>
    <col min="9" max="16384" width="8.85546875" style="2"/>
  </cols>
  <sheetData>
    <row r="1" spans="2:5" ht="2.25" customHeight="1" x14ac:dyDescent="0.2"/>
    <row r="2" spans="2:5" ht="13.9" customHeight="1" x14ac:dyDescent="0.2">
      <c r="B2" s="197"/>
      <c r="C2" s="868" t="s">
        <v>455</v>
      </c>
      <c r="D2" s="868"/>
      <c r="E2" s="868"/>
    </row>
    <row r="3" spans="2:5" ht="13.9" customHeight="1" x14ac:dyDescent="0.2">
      <c r="B3" s="197"/>
      <c r="C3" s="868"/>
      <c r="D3" s="868"/>
      <c r="E3" s="868"/>
    </row>
    <row r="4" spans="2:5" ht="13.9" customHeight="1" x14ac:dyDescent="0.2">
      <c r="B4" s="197"/>
      <c r="C4" s="868"/>
      <c r="D4" s="868"/>
      <c r="E4" s="868"/>
    </row>
    <row r="5" spans="2:5" ht="18.75" customHeight="1" x14ac:dyDescent="0.2">
      <c r="B5" s="197"/>
      <c r="C5" s="868"/>
      <c r="D5" s="868"/>
      <c r="E5" s="868"/>
    </row>
    <row r="6" spans="2:5" x14ac:dyDescent="0.2">
      <c r="B6" s="869"/>
      <c r="C6" s="869"/>
      <c r="D6" s="869"/>
      <c r="E6" s="869"/>
    </row>
    <row r="7" spans="2:5" ht="18.75" x14ac:dyDescent="0.3">
      <c r="B7" s="797" t="s">
        <v>35</v>
      </c>
      <c r="C7" s="797"/>
      <c r="D7" s="797"/>
      <c r="E7" s="797"/>
    </row>
    <row r="8" spans="2:5" ht="18.75" x14ac:dyDescent="0.3">
      <c r="B8" s="797" t="s">
        <v>223</v>
      </c>
      <c r="C8" s="797"/>
      <c r="D8" s="797"/>
      <c r="E8" s="797"/>
    </row>
    <row r="9" spans="2:5" ht="37.5" customHeight="1" x14ac:dyDescent="0.3">
      <c r="B9" s="798" t="s">
        <v>321</v>
      </c>
      <c r="C9" s="798"/>
      <c r="D9" s="798"/>
      <c r="E9" s="798"/>
    </row>
    <row r="10" spans="2:5" ht="15" x14ac:dyDescent="0.25">
      <c r="B10" s="759"/>
      <c r="C10" s="759"/>
      <c r="D10" s="759"/>
      <c r="E10" s="759"/>
    </row>
    <row r="11" spans="2:5" ht="15" x14ac:dyDescent="0.25">
      <c r="B11" s="759" t="s">
        <v>456</v>
      </c>
      <c r="C11" s="759"/>
      <c r="D11" s="759"/>
      <c r="E11" s="759"/>
    </row>
    <row r="12" spans="2:5" ht="15" x14ac:dyDescent="0.25">
      <c r="B12" s="777" t="s">
        <v>106</v>
      </c>
      <c r="C12" s="777"/>
      <c r="D12" s="777"/>
      <c r="E12" s="777"/>
    </row>
    <row r="13" spans="2:5" ht="4.5" customHeight="1" x14ac:dyDescent="0.2"/>
    <row r="14" spans="2:5" ht="15" x14ac:dyDescent="0.25">
      <c r="B14" s="777" t="s">
        <v>224</v>
      </c>
      <c r="C14" s="777"/>
      <c r="D14" s="777"/>
      <c r="E14" s="777"/>
    </row>
    <row r="15" spans="2:5" ht="20.100000000000001" customHeight="1" x14ac:dyDescent="0.2">
      <c r="B15" s="679" t="s">
        <v>107</v>
      </c>
      <c r="C15" s="679"/>
      <c r="D15" s="679" t="s">
        <v>225</v>
      </c>
      <c r="E15" s="679"/>
    </row>
    <row r="16" spans="2:5" ht="22.5" customHeight="1" x14ac:dyDescent="0.2">
      <c r="B16" s="679" t="s">
        <v>109</v>
      </c>
      <c r="C16" s="679" t="s">
        <v>30</v>
      </c>
      <c r="D16" s="679"/>
      <c r="E16" s="679"/>
    </row>
    <row r="17" spans="2:5" ht="0.75" customHeight="1" x14ac:dyDescent="0.2">
      <c r="B17" s="679"/>
      <c r="C17" s="679"/>
      <c r="D17" s="679"/>
      <c r="E17" s="679"/>
    </row>
    <row r="18" spans="2:5" ht="19.5" customHeight="1" x14ac:dyDescent="0.2">
      <c r="B18" s="679"/>
      <c r="C18" s="679"/>
      <c r="D18" s="679"/>
      <c r="E18" s="679"/>
    </row>
    <row r="19" spans="2:5" ht="19.5" customHeight="1" x14ac:dyDescent="0.2">
      <c r="B19" s="251">
        <v>1</v>
      </c>
      <c r="C19" s="251">
        <v>2</v>
      </c>
      <c r="D19" s="807">
        <v>3</v>
      </c>
      <c r="E19" s="807"/>
    </row>
    <row r="20" spans="2:5" ht="28.5" customHeight="1" x14ac:dyDescent="0.2">
      <c r="B20" s="255" t="s">
        <v>268</v>
      </c>
      <c r="C20" s="221">
        <v>557</v>
      </c>
      <c r="D20" s="862">
        <v>6</v>
      </c>
      <c r="E20" s="863"/>
    </row>
    <row r="21" spans="2:5" ht="33.75" customHeight="1" x14ac:dyDescent="0.2">
      <c r="B21" s="256" t="s">
        <v>292</v>
      </c>
      <c r="C21" s="221">
        <v>559</v>
      </c>
      <c r="D21" s="862">
        <v>3</v>
      </c>
      <c r="E21" s="863"/>
    </row>
    <row r="22" spans="2:5" ht="30.75" customHeight="1" x14ac:dyDescent="0.2">
      <c r="B22" s="256" t="s">
        <v>291</v>
      </c>
      <c r="C22" s="221">
        <v>560</v>
      </c>
      <c r="D22" s="862">
        <v>4</v>
      </c>
      <c r="E22" s="863"/>
    </row>
    <row r="23" spans="2:5" ht="30" customHeight="1" x14ac:dyDescent="0.2">
      <c r="B23" s="255" t="s">
        <v>271</v>
      </c>
      <c r="C23" s="221">
        <v>601</v>
      </c>
      <c r="D23" s="858">
        <v>11</v>
      </c>
      <c r="E23" s="859"/>
    </row>
    <row r="24" spans="2:5" ht="28.5" customHeight="1" x14ac:dyDescent="0.2">
      <c r="B24" s="256" t="s">
        <v>320</v>
      </c>
      <c r="C24" s="221">
        <v>602</v>
      </c>
      <c r="D24" s="858">
        <v>7</v>
      </c>
      <c r="E24" s="859"/>
    </row>
    <row r="25" spans="2:5" ht="19.5" customHeight="1" x14ac:dyDescent="0.2">
      <c r="B25" s="257" t="s">
        <v>293</v>
      </c>
      <c r="C25" s="221">
        <v>603</v>
      </c>
      <c r="D25" s="858">
        <v>5</v>
      </c>
      <c r="E25" s="859"/>
    </row>
    <row r="26" spans="2:5" ht="19.5" customHeight="1" x14ac:dyDescent="0.2">
      <c r="B26" s="255" t="s">
        <v>294</v>
      </c>
      <c r="C26" s="221">
        <v>604</v>
      </c>
      <c r="D26" s="858">
        <v>5</v>
      </c>
      <c r="E26" s="859"/>
    </row>
    <row r="27" spans="2:5" ht="19.5" customHeight="1" x14ac:dyDescent="0.2">
      <c r="B27" s="257" t="s">
        <v>295</v>
      </c>
      <c r="C27" s="221">
        <v>605</v>
      </c>
      <c r="D27" s="858">
        <v>10</v>
      </c>
      <c r="E27" s="859"/>
    </row>
    <row r="28" spans="2:5" ht="19.5" customHeight="1" x14ac:dyDescent="0.2">
      <c r="B28" s="257" t="s">
        <v>290</v>
      </c>
      <c r="C28" s="221">
        <v>606</v>
      </c>
      <c r="D28" s="858">
        <v>9</v>
      </c>
      <c r="E28" s="859"/>
    </row>
    <row r="29" spans="2:5" ht="19.5" customHeight="1" x14ac:dyDescent="0.2">
      <c r="B29" s="255" t="s">
        <v>296</v>
      </c>
      <c r="C29" s="221">
        <v>608</v>
      </c>
      <c r="D29" s="858">
        <v>8</v>
      </c>
      <c r="E29" s="859"/>
    </row>
    <row r="30" spans="2:5" ht="31.5" customHeight="1" x14ac:dyDescent="0.2">
      <c r="B30" s="255" t="s">
        <v>282</v>
      </c>
      <c r="C30" s="221">
        <v>685</v>
      </c>
      <c r="D30" s="858">
        <v>0</v>
      </c>
      <c r="E30" s="859"/>
    </row>
    <row r="31" spans="2:5" ht="19.5" customHeight="1" x14ac:dyDescent="0.2">
      <c r="B31" s="257" t="s">
        <v>297</v>
      </c>
      <c r="C31" s="221">
        <v>686</v>
      </c>
      <c r="D31" s="858">
        <v>7</v>
      </c>
      <c r="E31" s="859"/>
    </row>
    <row r="32" spans="2:5" ht="19.5" customHeight="1" x14ac:dyDescent="0.2">
      <c r="B32" s="255" t="s">
        <v>283</v>
      </c>
      <c r="C32" s="221">
        <v>688</v>
      </c>
      <c r="D32" s="858">
        <v>0</v>
      </c>
      <c r="E32" s="859"/>
    </row>
    <row r="33" spans="2:5" ht="19.5" customHeight="1" x14ac:dyDescent="0.2">
      <c r="B33" s="255" t="s">
        <v>298</v>
      </c>
      <c r="C33" s="221">
        <v>691</v>
      </c>
      <c r="D33" s="858">
        <v>1</v>
      </c>
      <c r="E33" s="859"/>
    </row>
    <row r="34" spans="2:5" ht="33.75" customHeight="1" x14ac:dyDescent="0.2">
      <c r="B34" s="255" t="s">
        <v>281</v>
      </c>
      <c r="C34" s="221">
        <v>692</v>
      </c>
      <c r="D34" s="858">
        <v>0</v>
      </c>
      <c r="E34" s="859"/>
    </row>
    <row r="35" spans="2:5" ht="32.25" customHeight="1" x14ac:dyDescent="0.2">
      <c r="B35" s="256" t="s">
        <v>299</v>
      </c>
      <c r="C35" s="221">
        <v>696</v>
      </c>
      <c r="D35" s="858">
        <v>3</v>
      </c>
      <c r="E35" s="859"/>
    </row>
    <row r="36" spans="2:5" ht="48" customHeight="1" x14ac:dyDescent="0.2">
      <c r="B36" s="255" t="s">
        <v>269</v>
      </c>
      <c r="C36" s="221">
        <v>697</v>
      </c>
      <c r="D36" s="858">
        <v>1</v>
      </c>
      <c r="E36" s="859"/>
    </row>
    <row r="37" spans="2:5" ht="38.25" customHeight="1" x14ac:dyDescent="0.2">
      <c r="B37" s="255" t="s">
        <v>286</v>
      </c>
      <c r="C37" s="221">
        <v>698</v>
      </c>
      <c r="D37" s="858">
        <v>0</v>
      </c>
      <c r="E37" s="859"/>
    </row>
    <row r="38" spans="2:5" ht="19.5" customHeight="1" x14ac:dyDescent="0.2">
      <c r="B38" s="256" t="s">
        <v>300</v>
      </c>
      <c r="C38" s="221">
        <v>699</v>
      </c>
      <c r="D38" s="858">
        <v>5</v>
      </c>
      <c r="E38" s="859"/>
    </row>
    <row r="39" spans="2:5" ht="30" customHeight="1" x14ac:dyDescent="0.2">
      <c r="B39" s="255" t="s">
        <v>270</v>
      </c>
      <c r="C39" s="221">
        <v>700</v>
      </c>
      <c r="D39" s="858">
        <v>5</v>
      </c>
      <c r="E39" s="859"/>
    </row>
    <row r="40" spans="2:5" ht="33.75" customHeight="1" x14ac:dyDescent="0.2">
      <c r="B40" s="255" t="s">
        <v>274</v>
      </c>
      <c r="C40" s="221">
        <v>701</v>
      </c>
      <c r="D40" s="860">
        <v>2</v>
      </c>
      <c r="E40" s="860"/>
    </row>
    <row r="41" spans="2:5" ht="27.6" customHeight="1" x14ac:dyDescent="0.2">
      <c r="B41" s="256" t="s">
        <v>301</v>
      </c>
      <c r="C41" s="221">
        <v>702</v>
      </c>
      <c r="D41" s="860">
        <v>1</v>
      </c>
      <c r="E41" s="860"/>
    </row>
    <row r="42" spans="2:5" ht="24" customHeight="1" x14ac:dyDescent="0.2">
      <c r="B42" s="255" t="s">
        <v>275</v>
      </c>
      <c r="C42" s="221">
        <v>705</v>
      </c>
      <c r="D42" s="860">
        <v>4</v>
      </c>
      <c r="E42" s="860"/>
    </row>
    <row r="43" spans="2:5" ht="47.25" customHeight="1" x14ac:dyDescent="0.2">
      <c r="B43" s="255" t="s">
        <v>276</v>
      </c>
      <c r="C43" s="221">
        <v>820</v>
      </c>
      <c r="D43" s="860">
        <v>2</v>
      </c>
      <c r="E43" s="860"/>
    </row>
    <row r="44" spans="2:5" ht="48.75" customHeight="1" x14ac:dyDescent="0.2">
      <c r="B44" s="255" t="s">
        <v>277</v>
      </c>
      <c r="C44" s="221">
        <v>830</v>
      </c>
      <c r="D44" s="860">
        <v>3</v>
      </c>
      <c r="E44" s="860"/>
    </row>
    <row r="45" spans="2:5" ht="44.25" customHeight="1" x14ac:dyDescent="0.2">
      <c r="B45" s="255" t="s">
        <v>278</v>
      </c>
      <c r="C45" s="221">
        <v>840</v>
      </c>
      <c r="D45" s="860">
        <v>1</v>
      </c>
      <c r="E45" s="860"/>
    </row>
    <row r="46" spans="2:5" ht="44.65" customHeight="1" x14ac:dyDescent="0.2">
      <c r="B46" s="255" t="s">
        <v>279</v>
      </c>
      <c r="C46" s="221">
        <v>850</v>
      </c>
      <c r="D46" s="860">
        <v>2</v>
      </c>
      <c r="E46" s="860"/>
    </row>
    <row r="47" spans="2:5" ht="44.25" customHeight="1" x14ac:dyDescent="0.2">
      <c r="B47" s="255" t="s">
        <v>280</v>
      </c>
      <c r="C47" s="221">
        <v>860</v>
      </c>
      <c r="D47" s="860">
        <v>3</v>
      </c>
      <c r="E47" s="860"/>
    </row>
    <row r="48" spans="2:5" ht="45.75" customHeight="1" x14ac:dyDescent="0.2">
      <c r="B48" s="255" t="s">
        <v>272</v>
      </c>
      <c r="C48" s="221">
        <v>870</v>
      </c>
      <c r="D48" s="860">
        <v>0</v>
      </c>
      <c r="E48" s="860"/>
    </row>
    <row r="49" spans="2:8" ht="47.25" customHeight="1" x14ac:dyDescent="0.2">
      <c r="B49" s="255" t="s">
        <v>273</v>
      </c>
      <c r="C49" s="221">
        <v>880</v>
      </c>
      <c r="D49" s="860">
        <v>0</v>
      </c>
      <c r="E49" s="860"/>
    </row>
    <row r="50" spans="2:8" x14ac:dyDescent="0.2">
      <c r="B50" s="7"/>
      <c r="C50" s="258" t="s">
        <v>27</v>
      </c>
      <c r="D50" s="864">
        <f>SUM(D20:D49)</f>
        <v>108</v>
      </c>
      <c r="E50" s="864"/>
    </row>
    <row r="51" spans="2:8" ht="15" x14ac:dyDescent="0.25">
      <c r="B51" s="777"/>
      <c r="C51" s="777"/>
      <c r="D51" s="777"/>
      <c r="E51" s="777"/>
    </row>
    <row r="52" spans="2:8" ht="15" x14ac:dyDescent="0.25">
      <c r="B52" s="777" t="s">
        <v>325</v>
      </c>
      <c r="C52" s="777"/>
      <c r="D52" s="777"/>
      <c r="E52" s="777"/>
    </row>
    <row r="53" spans="2:8" ht="15" x14ac:dyDescent="0.25">
      <c r="B53" s="777" t="s">
        <v>254</v>
      </c>
      <c r="C53" s="777"/>
      <c r="D53" s="777"/>
      <c r="E53" s="777"/>
    </row>
    <row r="54" spans="2:8" ht="15" x14ac:dyDescent="0.25">
      <c r="B54" s="777"/>
      <c r="C54" s="777"/>
      <c r="D54" s="777"/>
      <c r="E54" s="777"/>
    </row>
    <row r="55" spans="2:8" ht="15" x14ac:dyDescent="0.25">
      <c r="B55" s="777" t="s">
        <v>326</v>
      </c>
      <c r="C55" s="777"/>
      <c r="D55" s="777"/>
      <c r="E55" s="777"/>
    </row>
    <row r="56" spans="2:8" x14ac:dyDescent="0.2">
      <c r="B56" s="861" t="s">
        <v>419</v>
      </c>
      <c r="C56" s="861"/>
      <c r="D56" s="861"/>
      <c r="E56" s="861"/>
    </row>
    <row r="57" spans="2:8" ht="15" x14ac:dyDescent="0.25">
      <c r="B57" s="777"/>
      <c r="C57" s="777"/>
      <c r="D57" s="777"/>
      <c r="E57" s="777"/>
    </row>
    <row r="58" spans="2:8" ht="15" x14ac:dyDescent="0.25">
      <c r="B58" s="777" t="s">
        <v>420</v>
      </c>
      <c r="C58" s="777"/>
      <c r="D58" s="777"/>
      <c r="E58" s="777"/>
    </row>
    <row r="59" spans="2:8" ht="15" x14ac:dyDescent="0.25">
      <c r="B59" s="8"/>
    </row>
    <row r="63" spans="2:8" ht="27" customHeight="1" x14ac:dyDescent="0.2">
      <c r="B63" s="679" t="s">
        <v>107</v>
      </c>
      <c r="C63" s="679"/>
      <c r="D63" s="679" t="s">
        <v>225</v>
      </c>
      <c r="E63" s="679"/>
      <c r="F63" s="865" t="s">
        <v>241</v>
      </c>
      <c r="G63" s="719" t="s">
        <v>327</v>
      </c>
      <c r="H63" s="719" t="s">
        <v>328</v>
      </c>
    </row>
    <row r="64" spans="2:8" ht="26.65" customHeight="1" x14ac:dyDescent="0.2">
      <c r="B64" s="679" t="s">
        <v>109</v>
      </c>
      <c r="C64" s="679" t="s">
        <v>30</v>
      </c>
      <c r="D64" s="679"/>
      <c r="E64" s="679"/>
      <c r="F64" s="866"/>
      <c r="G64" s="720"/>
      <c r="H64" s="720"/>
    </row>
    <row r="65" spans="2:8" ht="26.65" customHeight="1" x14ac:dyDescent="0.2">
      <c r="B65" s="679"/>
      <c r="C65" s="679"/>
      <c r="D65" s="679"/>
      <c r="E65" s="679"/>
      <c r="F65" s="866"/>
      <c r="G65" s="720"/>
      <c r="H65" s="720"/>
    </row>
    <row r="66" spans="2:8" ht="50.25" customHeight="1" x14ac:dyDescent="0.2">
      <c r="B66" s="679"/>
      <c r="C66" s="679"/>
      <c r="D66" s="679"/>
      <c r="E66" s="679"/>
      <c r="F66" s="866"/>
      <c r="G66" s="737"/>
      <c r="H66" s="737"/>
    </row>
    <row r="67" spans="2:8" ht="15" x14ac:dyDescent="0.2">
      <c r="B67" s="251">
        <v>1</v>
      </c>
      <c r="C67" s="251">
        <v>2</v>
      </c>
      <c r="D67" s="807">
        <v>3</v>
      </c>
      <c r="E67" s="807"/>
      <c r="F67" s="866"/>
      <c r="G67" s="9"/>
      <c r="H67" s="9"/>
    </row>
    <row r="68" spans="2:8" ht="60" customHeight="1" x14ac:dyDescent="0.2">
      <c r="B68" s="255" t="s">
        <v>268</v>
      </c>
      <c r="C68" s="221">
        <v>557</v>
      </c>
      <c r="D68" s="950">
        <f t="shared" ref="D68:D97" si="0">D20</f>
        <v>6</v>
      </c>
      <c r="E68" s="951"/>
      <c r="F68" s="866"/>
      <c r="G68" s="952" t="s">
        <v>203</v>
      </c>
      <c r="H68" s="953">
        <v>0</v>
      </c>
    </row>
    <row r="69" spans="2:8" ht="30" x14ac:dyDescent="0.2">
      <c r="B69" s="256" t="s">
        <v>292</v>
      </c>
      <c r="C69" s="221">
        <v>559</v>
      </c>
      <c r="D69" s="950">
        <f t="shared" si="0"/>
        <v>3</v>
      </c>
      <c r="E69" s="951"/>
      <c r="F69" s="866"/>
      <c r="G69" s="954" t="s">
        <v>202</v>
      </c>
      <c r="H69" s="953">
        <v>1</v>
      </c>
    </row>
    <row r="70" spans="2:8" ht="30" x14ac:dyDescent="0.2">
      <c r="B70" s="256" t="s">
        <v>291</v>
      </c>
      <c r="C70" s="221">
        <v>560</v>
      </c>
      <c r="D70" s="950">
        <f t="shared" si="0"/>
        <v>4</v>
      </c>
      <c r="E70" s="951"/>
      <c r="F70" s="866"/>
      <c r="G70" s="722"/>
      <c r="H70" s="953">
        <v>1</v>
      </c>
    </row>
    <row r="71" spans="2:8" ht="30" x14ac:dyDescent="0.2">
      <c r="B71" s="255" t="s">
        <v>271</v>
      </c>
      <c r="C71" s="221">
        <v>601</v>
      </c>
      <c r="D71" s="955">
        <f t="shared" si="0"/>
        <v>11</v>
      </c>
      <c r="E71" s="956"/>
      <c r="F71" s="866"/>
      <c r="G71" s="957" t="s">
        <v>203</v>
      </c>
      <c r="H71" s="953">
        <v>0</v>
      </c>
    </row>
    <row r="72" spans="2:8" ht="30" x14ac:dyDescent="0.2">
      <c r="B72" s="256" t="s">
        <v>320</v>
      </c>
      <c r="C72" s="221">
        <v>602</v>
      </c>
      <c r="D72" s="955">
        <f t="shared" si="0"/>
        <v>7</v>
      </c>
      <c r="E72" s="956"/>
      <c r="F72" s="866"/>
      <c r="G72" s="721"/>
      <c r="H72" s="953">
        <v>0</v>
      </c>
    </row>
    <row r="73" spans="2:8" ht="15" x14ac:dyDescent="0.2">
      <c r="B73" s="257" t="s">
        <v>293</v>
      </c>
      <c r="C73" s="221">
        <v>603</v>
      </c>
      <c r="D73" s="955">
        <f t="shared" si="0"/>
        <v>5</v>
      </c>
      <c r="E73" s="956"/>
      <c r="F73" s="866"/>
      <c r="G73" s="721"/>
      <c r="H73" s="953">
        <v>0</v>
      </c>
    </row>
    <row r="74" spans="2:8" ht="15" x14ac:dyDescent="0.2">
      <c r="B74" s="255" t="s">
        <v>294</v>
      </c>
      <c r="C74" s="221">
        <v>604</v>
      </c>
      <c r="D74" s="955">
        <f t="shared" si="0"/>
        <v>5</v>
      </c>
      <c r="E74" s="956"/>
      <c r="F74" s="866"/>
      <c r="G74" s="721"/>
      <c r="H74" s="953">
        <v>0</v>
      </c>
    </row>
    <row r="75" spans="2:8" ht="18" customHeight="1" x14ac:dyDescent="0.2">
      <c r="B75" s="257" t="s">
        <v>295</v>
      </c>
      <c r="C75" s="221">
        <v>605</v>
      </c>
      <c r="D75" s="955">
        <f t="shared" si="0"/>
        <v>10</v>
      </c>
      <c r="E75" s="956"/>
      <c r="F75" s="866"/>
      <c r="G75" s="721"/>
      <c r="H75" s="953">
        <v>0</v>
      </c>
    </row>
    <row r="76" spans="2:8" ht="15" x14ac:dyDescent="0.2">
      <c r="B76" s="257" t="s">
        <v>290</v>
      </c>
      <c r="C76" s="221">
        <v>606</v>
      </c>
      <c r="D76" s="955">
        <f t="shared" si="0"/>
        <v>9</v>
      </c>
      <c r="E76" s="956"/>
      <c r="F76" s="866"/>
      <c r="G76" s="721"/>
      <c r="H76" s="953">
        <v>0</v>
      </c>
    </row>
    <row r="77" spans="2:8" ht="15" x14ac:dyDescent="0.2">
      <c r="B77" s="255" t="s">
        <v>296</v>
      </c>
      <c r="C77" s="221">
        <v>608</v>
      </c>
      <c r="D77" s="955">
        <f t="shared" si="0"/>
        <v>8</v>
      </c>
      <c r="E77" s="956"/>
      <c r="F77" s="866"/>
      <c r="G77" s="722"/>
      <c r="H77" s="953">
        <v>0</v>
      </c>
    </row>
    <row r="78" spans="2:8" ht="56.25" customHeight="1" x14ac:dyDescent="0.2">
      <c r="B78" s="255" t="s">
        <v>282</v>
      </c>
      <c r="C78" s="221">
        <v>685</v>
      </c>
      <c r="D78" s="955">
        <f t="shared" si="0"/>
        <v>0</v>
      </c>
      <c r="E78" s="956"/>
      <c r="F78" s="866"/>
      <c r="G78" s="958" t="s">
        <v>202</v>
      </c>
      <c r="H78" s="953">
        <v>1</v>
      </c>
    </row>
    <row r="79" spans="2:8" ht="45" x14ac:dyDescent="0.2">
      <c r="B79" s="257" t="s">
        <v>297</v>
      </c>
      <c r="C79" s="221">
        <v>686</v>
      </c>
      <c r="D79" s="955">
        <f t="shared" si="0"/>
        <v>7</v>
      </c>
      <c r="E79" s="956"/>
      <c r="F79" s="866"/>
      <c r="G79" s="952" t="s">
        <v>203</v>
      </c>
      <c r="H79" s="953">
        <v>0</v>
      </c>
    </row>
    <row r="80" spans="2:8" ht="15" x14ac:dyDescent="0.2">
      <c r="B80" s="255" t="s">
        <v>283</v>
      </c>
      <c r="C80" s="221">
        <v>688</v>
      </c>
      <c r="D80" s="955">
        <f t="shared" si="0"/>
        <v>0</v>
      </c>
      <c r="E80" s="956"/>
      <c r="F80" s="866"/>
      <c r="G80" s="954" t="s">
        <v>202</v>
      </c>
      <c r="H80" s="953">
        <v>1</v>
      </c>
    </row>
    <row r="81" spans="2:8" ht="15" x14ac:dyDescent="0.2">
      <c r="B81" s="255" t="s">
        <v>298</v>
      </c>
      <c r="C81" s="221">
        <v>691</v>
      </c>
      <c r="D81" s="955">
        <f t="shared" si="0"/>
        <v>1</v>
      </c>
      <c r="E81" s="956"/>
      <c r="F81" s="866"/>
      <c r="G81" s="721"/>
      <c r="H81" s="953">
        <v>1</v>
      </c>
    </row>
    <row r="82" spans="2:8" ht="30" x14ac:dyDescent="0.2">
      <c r="B82" s="255" t="s">
        <v>281</v>
      </c>
      <c r="C82" s="221">
        <v>692</v>
      </c>
      <c r="D82" s="955">
        <f t="shared" si="0"/>
        <v>0</v>
      </c>
      <c r="E82" s="956"/>
      <c r="F82" s="866"/>
      <c r="G82" s="721"/>
      <c r="H82" s="953">
        <v>1</v>
      </c>
    </row>
    <row r="83" spans="2:8" ht="30" x14ac:dyDescent="0.2">
      <c r="B83" s="256" t="s">
        <v>299</v>
      </c>
      <c r="C83" s="221">
        <v>696</v>
      </c>
      <c r="D83" s="955">
        <f t="shared" si="0"/>
        <v>3</v>
      </c>
      <c r="E83" s="956"/>
      <c r="F83" s="866"/>
      <c r="G83" s="721"/>
      <c r="H83" s="953">
        <v>1</v>
      </c>
    </row>
    <row r="84" spans="2:8" ht="45" x14ac:dyDescent="0.2">
      <c r="B84" s="255" t="s">
        <v>269</v>
      </c>
      <c r="C84" s="221">
        <v>697</v>
      </c>
      <c r="D84" s="955">
        <f t="shared" si="0"/>
        <v>1</v>
      </c>
      <c r="E84" s="956"/>
      <c r="F84" s="866"/>
      <c r="G84" s="721"/>
      <c r="H84" s="953">
        <v>1</v>
      </c>
    </row>
    <row r="85" spans="2:8" ht="30" x14ac:dyDescent="0.2">
      <c r="B85" s="255" t="s">
        <v>286</v>
      </c>
      <c r="C85" s="221">
        <v>698</v>
      </c>
      <c r="D85" s="955">
        <f t="shared" si="0"/>
        <v>0</v>
      </c>
      <c r="E85" s="956"/>
      <c r="F85" s="866"/>
      <c r="G85" s="722"/>
      <c r="H85" s="953">
        <v>1</v>
      </c>
    </row>
    <row r="86" spans="2:8" ht="56.25" customHeight="1" x14ac:dyDescent="0.2">
      <c r="B86" s="256" t="s">
        <v>300</v>
      </c>
      <c r="C86" s="221">
        <v>699</v>
      </c>
      <c r="D86" s="955">
        <f t="shared" si="0"/>
        <v>5</v>
      </c>
      <c r="E86" s="956"/>
      <c r="F86" s="866"/>
      <c r="G86" s="957" t="s">
        <v>203</v>
      </c>
      <c r="H86" s="953">
        <v>0</v>
      </c>
    </row>
    <row r="87" spans="2:8" ht="30" x14ac:dyDescent="0.2">
      <c r="B87" s="255" t="s">
        <v>270</v>
      </c>
      <c r="C87" s="221">
        <v>700</v>
      </c>
      <c r="D87" s="955">
        <f t="shared" si="0"/>
        <v>5</v>
      </c>
      <c r="E87" s="956"/>
      <c r="F87" s="866"/>
      <c r="G87" s="959"/>
      <c r="H87" s="953">
        <v>0</v>
      </c>
    </row>
    <row r="88" spans="2:8" ht="30" x14ac:dyDescent="0.2">
      <c r="B88" s="255" t="s">
        <v>274</v>
      </c>
      <c r="C88" s="221">
        <v>701</v>
      </c>
      <c r="D88" s="960">
        <f t="shared" si="0"/>
        <v>2</v>
      </c>
      <c r="E88" s="960"/>
      <c r="F88" s="866"/>
      <c r="G88" s="954" t="s">
        <v>202</v>
      </c>
      <c r="H88" s="953">
        <v>1</v>
      </c>
    </row>
    <row r="89" spans="2:8" ht="30" x14ac:dyDescent="0.2">
      <c r="B89" s="256" t="s">
        <v>301</v>
      </c>
      <c r="C89" s="221">
        <v>702</v>
      </c>
      <c r="D89" s="960">
        <f t="shared" si="0"/>
        <v>1</v>
      </c>
      <c r="E89" s="960"/>
      <c r="F89" s="866"/>
      <c r="G89" s="961"/>
      <c r="H89" s="953">
        <v>1</v>
      </c>
    </row>
    <row r="90" spans="2:8" ht="21" customHeight="1" x14ac:dyDescent="0.2">
      <c r="B90" s="255" t="s">
        <v>275</v>
      </c>
      <c r="C90" s="221">
        <v>705</v>
      </c>
      <c r="D90" s="960">
        <f t="shared" si="0"/>
        <v>4</v>
      </c>
      <c r="E90" s="960"/>
      <c r="F90" s="866"/>
      <c r="G90" s="961"/>
      <c r="H90" s="953">
        <v>1</v>
      </c>
    </row>
    <row r="91" spans="2:8" ht="45" x14ac:dyDescent="0.2">
      <c r="B91" s="255" t="s">
        <v>276</v>
      </c>
      <c r="C91" s="221">
        <v>820</v>
      </c>
      <c r="D91" s="960">
        <f t="shared" si="0"/>
        <v>2</v>
      </c>
      <c r="E91" s="960"/>
      <c r="F91" s="866"/>
      <c r="G91" s="961"/>
      <c r="H91" s="953">
        <v>1</v>
      </c>
    </row>
    <row r="92" spans="2:8" ht="45" x14ac:dyDescent="0.2">
      <c r="B92" s="255" t="s">
        <v>277</v>
      </c>
      <c r="C92" s="221">
        <v>830</v>
      </c>
      <c r="D92" s="960">
        <f t="shared" si="0"/>
        <v>3</v>
      </c>
      <c r="E92" s="960"/>
      <c r="F92" s="866"/>
      <c r="G92" s="961"/>
      <c r="H92" s="953">
        <v>1</v>
      </c>
    </row>
    <row r="93" spans="2:8" ht="55.5" customHeight="1" x14ac:dyDescent="0.2">
      <c r="B93" s="255" t="s">
        <v>278</v>
      </c>
      <c r="C93" s="221">
        <v>840</v>
      </c>
      <c r="D93" s="960">
        <f t="shared" si="0"/>
        <v>1</v>
      </c>
      <c r="E93" s="960"/>
      <c r="F93" s="866"/>
      <c r="G93" s="961"/>
      <c r="H93" s="953">
        <v>1</v>
      </c>
    </row>
    <row r="94" spans="2:8" ht="56.25" customHeight="1" x14ac:dyDescent="0.2">
      <c r="B94" s="255" t="s">
        <v>279</v>
      </c>
      <c r="C94" s="221">
        <v>850</v>
      </c>
      <c r="D94" s="960">
        <f t="shared" si="0"/>
        <v>2</v>
      </c>
      <c r="E94" s="960"/>
      <c r="F94" s="866"/>
      <c r="G94" s="961"/>
      <c r="H94" s="953">
        <v>1</v>
      </c>
    </row>
    <row r="95" spans="2:8" ht="45" x14ac:dyDescent="0.2">
      <c r="B95" s="255" t="s">
        <v>280</v>
      </c>
      <c r="C95" s="221">
        <v>860</v>
      </c>
      <c r="D95" s="960">
        <f t="shared" si="0"/>
        <v>3</v>
      </c>
      <c r="E95" s="960"/>
      <c r="F95" s="866"/>
      <c r="G95" s="961"/>
      <c r="H95" s="953">
        <v>1</v>
      </c>
    </row>
    <row r="96" spans="2:8" ht="45" x14ac:dyDescent="0.2">
      <c r="B96" s="255" t="s">
        <v>272</v>
      </c>
      <c r="C96" s="221">
        <v>870</v>
      </c>
      <c r="D96" s="960">
        <f t="shared" si="0"/>
        <v>0</v>
      </c>
      <c r="E96" s="960"/>
      <c r="F96" s="866"/>
      <c r="G96" s="961"/>
      <c r="H96" s="953">
        <v>1</v>
      </c>
    </row>
    <row r="97" spans="2:8" ht="66" customHeight="1" x14ac:dyDescent="0.2">
      <c r="B97" s="255" t="s">
        <v>273</v>
      </c>
      <c r="C97" s="221">
        <v>880</v>
      </c>
      <c r="D97" s="960">
        <f t="shared" si="0"/>
        <v>0</v>
      </c>
      <c r="E97" s="960"/>
      <c r="F97" s="867"/>
      <c r="G97" s="962"/>
      <c r="H97" s="953">
        <v>1</v>
      </c>
    </row>
    <row r="98" spans="2:8" x14ac:dyDescent="0.2">
      <c r="B98" s="7"/>
      <c r="C98" s="258" t="s">
        <v>27</v>
      </c>
      <c r="D98" s="963">
        <f>SUM(D68:D97)</f>
        <v>108</v>
      </c>
      <c r="E98" s="963"/>
      <c r="F98" s="964">
        <f>(SUM(D68:E97)-(D71+D78+D80+D82+D85+D96+D97))/23</f>
        <v>4.2173913043478262</v>
      </c>
    </row>
    <row r="99" spans="2:8" ht="63.75" x14ac:dyDescent="0.2">
      <c r="F99" s="259" t="s">
        <v>324</v>
      </c>
    </row>
  </sheetData>
  <mergeCells count="97">
    <mergeCell ref="D19:E19"/>
    <mergeCell ref="C16:C18"/>
    <mergeCell ref="B10:E10"/>
    <mergeCell ref="B11:E11"/>
    <mergeCell ref="B12:E12"/>
    <mergeCell ref="B14:E14"/>
    <mergeCell ref="D15:E18"/>
    <mergeCell ref="B15:C15"/>
    <mergeCell ref="B16:B18"/>
    <mergeCell ref="C2:E5"/>
    <mergeCell ref="B6:E6"/>
    <mergeCell ref="B7:E7"/>
    <mergeCell ref="B8:E8"/>
    <mergeCell ref="B9:E9"/>
    <mergeCell ref="D43:E43"/>
    <mergeCell ref="D44:E44"/>
    <mergeCell ref="D40:E40"/>
    <mergeCell ref="D50:E50"/>
    <mergeCell ref="D48:E48"/>
    <mergeCell ref="D45:E45"/>
    <mergeCell ref="D46:E46"/>
    <mergeCell ref="D47:E47"/>
    <mergeCell ref="D49:E49"/>
    <mergeCell ref="D29:E29"/>
    <mergeCell ref="D20:E20"/>
    <mergeCell ref="D21:E21"/>
    <mergeCell ref="D22:E22"/>
    <mergeCell ref="D24:E24"/>
    <mergeCell ref="D25:E25"/>
    <mergeCell ref="D26:E26"/>
    <mergeCell ref="D23:E23"/>
    <mergeCell ref="D27:E27"/>
    <mergeCell ref="D28:E28"/>
    <mergeCell ref="D95:E95"/>
    <mergeCell ref="D98:E98"/>
    <mergeCell ref="F63:F97"/>
    <mergeCell ref="D89:E89"/>
    <mergeCell ref="D90:E90"/>
    <mergeCell ref="D91:E91"/>
    <mergeCell ref="D92:E92"/>
    <mergeCell ref="D93:E93"/>
    <mergeCell ref="D88:E88"/>
    <mergeCell ref="D96:E96"/>
    <mergeCell ref="D80:E80"/>
    <mergeCell ref="D81:E81"/>
    <mergeCell ref="D82:E82"/>
    <mergeCell ref="D83:E83"/>
    <mergeCell ref="D84:E84"/>
    <mergeCell ref="D85:E85"/>
    <mergeCell ref="G63:G66"/>
    <mergeCell ref="H63:H66"/>
    <mergeCell ref="D94:E94"/>
    <mergeCell ref="G69:G70"/>
    <mergeCell ref="G71:G77"/>
    <mergeCell ref="G80:G85"/>
    <mergeCell ref="G86:G87"/>
    <mergeCell ref="G88:G97"/>
    <mergeCell ref="D97:E97"/>
    <mergeCell ref="D71:E71"/>
    <mergeCell ref="D72:E72"/>
    <mergeCell ref="D73:E73"/>
    <mergeCell ref="D74:E74"/>
    <mergeCell ref="D75:E75"/>
    <mergeCell ref="D76:E76"/>
    <mergeCell ref="D77:E77"/>
    <mergeCell ref="B56:E56"/>
    <mergeCell ref="B57:E57"/>
    <mergeCell ref="D87:E87"/>
    <mergeCell ref="D68:E68"/>
    <mergeCell ref="D69:E69"/>
    <mergeCell ref="D70:E70"/>
    <mergeCell ref="B63:C63"/>
    <mergeCell ref="D63:E66"/>
    <mergeCell ref="B64:B66"/>
    <mergeCell ref="C64:C66"/>
    <mergeCell ref="D67:E67"/>
    <mergeCell ref="B58:E58"/>
    <mergeCell ref="D78:E78"/>
    <mergeCell ref="D79:E79"/>
    <mergeCell ref="D86:E86"/>
    <mergeCell ref="B51:E51"/>
    <mergeCell ref="B52:E52"/>
    <mergeCell ref="B53:E53"/>
    <mergeCell ref="B54:E54"/>
    <mergeCell ref="B55:E55"/>
    <mergeCell ref="D39:E39"/>
    <mergeCell ref="D41:E41"/>
    <mergeCell ref="D42:E42"/>
    <mergeCell ref="D30:E30"/>
    <mergeCell ref="D31:E31"/>
    <mergeCell ref="D35:E35"/>
    <mergeCell ref="D38:E38"/>
    <mergeCell ref="D37:E37"/>
    <mergeCell ref="D36:E36"/>
    <mergeCell ref="D34:E34"/>
    <mergeCell ref="D33:E33"/>
    <mergeCell ref="D32:E32"/>
  </mergeCells>
  <pageMargins left="0.31496062992125984" right="0.31496062992125984" top="0.74803149606299213" bottom="0.74803149606299213" header="0.31496062992125984" footer="0.31496062992125984"/>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18</vt:i4>
      </vt:variant>
      <vt:variant>
        <vt:lpstr>Именованные диапазоны</vt:lpstr>
      </vt:variant>
      <vt:variant>
        <vt:i4>5</vt:i4>
      </vt:variant>
    </vt:vector>
  </HeadingPairs>
  <TitlesOfParts>
    <vt:vector size="23" baseType="lpstr">
      <vt:lpstr>ИТОГОВЫЙ РЕЙТИНГ ЗА 2025 ГОД</vt:lpstr>
      <vt:lpstr>свод по прилож. 1,2</vt:lpstr>
      <vt:lpstr>приложение 3</vt:lpstr>
      <vt:lpstr>приложение 3.1.</vt:lpstr>
      <vt:lpstr>приложение 6</vt:lpstr>
      <vt:lpstr>приложение 7</vt:lpstr>
      <vt:lpstr>приложение 8</vt:lpstr>
      <vt:lpstr>приложение 13</vt:lpstr>
      <vt:lpstr>приложение 10</vt:lpstr>
      <vt:lpstr>приложение 9</vt:lpstr>
      <vt:lpstr>приложение 14</vt:lpstr>
      <vt:lpstr>сведения о КЗ, ДЗ</vt:lpstr>
      <vt:lpstr>Факты,сниж. степ. кач.</vt:lpstr>
      <vt:lpstr>приложение 15</vt:lpstr>
      <vt:lpstr>Приложение 16</vt:lpstr>
      <vt:lpstr>Приложение 18</vt:lpstr>
      <vt:lpstr>Свод по прилож. 11</vt:lpstr>
      <vt:lpstr>Свод по прилож. 4</vt:lpstr>
      <vt:lpstr>'ИТОГОВЫЙ РЕЙТИНГ ЗА 2025 ГОД'!Заголовки_для_печати</vt:lpstr>
      <vt:lpstr>'приложение 13'!Заголовки_для_печати</vt:lpstr>
      <vt:lpstr>'приложение 3'!Заголовки_для_печати</vt:lpstr>
      <vt:lpstr>'свод по прилож. 1,2'!Заголовки_для_печати</vt:lpstr>
      <vt:lpstr>'приложение 8'!Область_печати</vt:lpstr>
    </vt:vector>
  </TitlesOfParts>
  <Company>Home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gumayeva</dc:creator>
  <cp:lastModifiedBy>nachkazn</cp:lastModifiedBy>
  <cp:lastPrinted>2026-07-03T11:30:42Z</cp:lastPrinted>
  <dcterms:created xsi:type="dcterms:W3CDTF">2011-07-26T05:23:02Z</dcterms:created>
  <dcterms:modified xsi:type="dcterms:W3CDTF">2026-07-03T11:38:01Z</dcterms:modified>
</cp:coreProperties>
</file>